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JET JUMEAUX INED-MNHM\DATABASE\RAW DATA\"/>
    </mc:Choice>
  </mc:AlternateContent>
  <bookViews>
    <workbookView xWindow="-110" yWindow="-110" windowWidth="19430" windowHeight="10430"/>
  </bookViews>
  <sheets>
    <sheet name="contents" sheetId="3" r:id="rId1"/>
    <sheet name="input data" sheetId="1" r:id="rId2"/>
    <sheet name="metadata - variables input data" sheetId="4" r:id="rId3"/>
    <sheet name="metadata - sources &amp; notes" sheetId="2" r:id="rId4"/>
  </sheets>
  <definedNames>
    <definedName name="_xlnm._FilterDatabase" localSheetId="1" hidden="1">'input data'!$A$1:$S$1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 l="1"/>
  <c r="G2" i="1"/>
  <c r="E2" i="1"/>
  <c r="I3" i="1"/>
  <c r="G3" i="1"/>
  <c r="E3" i="1"/>
  <c r="I4" i="1"/>
  <c r="G4" i="1"/>
  <c r="E4" i="1"/>
  <c r="K5" i="1"/>
  <c r="I5" i="1"/>
  <c r="G5" i="1"/>
  <c r="E5" i="1"/>
  <c r="I6" i="1"/>
  <c r="G6" i="1"/>
  <c r="E6" i="1"/>
  <c r="I7" i="1"/>
  <c r="G7" i="1"/>
  <c r="E7" i="1"/>
  <c r="I8" i="1"/>
  <c r="G8" i="1"/>
  <c r="E8" i="1"/>
  <c r="I9" i="1"/>
  <c r="G9" i="1"/>
  <c r="E9" i="1"/>
  <c r="I10" i="1"/>
  <c r="G10" i="1"/>
  <c r="E10" i="1"/>
  <c r="I11" i="1"/>
  <c r="G11" i="1"/>
  <c r="E11" i="1"/>
  <c r="G12" i="1"/>
  <c r="E12" i="1"/>
  <c r="I13" i="1"/>
  <c r="G13" i="1"/>
  <c r="E13" i="1"/>
  <c r="I14" i="1"/>
  <c r="G14" i="1"/>
  <c r="E14" i="1"/>
  <c r="I15" i="1"/>
  <c r="G15" i="1"/>
  <c r="E15" i="1"/>
  <c r="I16" i="1"/>
  <c r="G16" i="1"/>
  <c r="E16" i="1"/>
  <c r="I17" i="1"/>
  <c r="G17" i="1"/>
  <c r="E17" i="1"/>
  <c r="I18" i="1"/>
  <c r="G18" i="1"/>
  <c r="E18" i="1"/>
  <c r="I19" i="1"/>
  <c r="G19" i="1"/>
  <c r="E19" i="1"/>
  <c r="K20" i="1"/>
  <c r="I20" i="1"/>
  <c r="G20" i="1"/>
  <c r="E20" i="1"/>
  <c r="I21" i="1"/>
  <c r="G21" i="1"/>
  <c r="E21" i="1"/>
  <c r="I22" i="1"/>
  <c r="G22" i="1"/>
  <c r="E22" i="1"/>
  <c r="I23" i="1"/>
  <c r="G23" i="1"/>
  <c r="E23" i="1"/>
  <c r="K24" i="1"/>
  <c r="I24" i="1"/>
  <c r="G24" i="1"/>
  <c r="E24" i="1"/>
  <c r="I25" i="1"/>
  <c r="G25" i="1"/>
  <c r="E25" i="1"/>
  <c r="I26" i="1"/>
  <c r="E26" i="1"/>
  <c r="G26" i="1"/>
  <c r="I27" i="1"/>
  <c r="G27" i="1"/>
  <c r="E27" i="1"/>
  <c r="G28" i="1"/>
  <c r="E28" i="1"/>
  <c r="I29" i="1" l="1"/>
  <c r="G29" i="1"/>
  <c r="E29" i="1"/>
  <c r="I30" i="1"/>
  <c r="G30" i="1"/>
  <c r="E30" i="1"/>
  <c r="I31" i="1"/>
  <c r="G31" i="1"/>
  <c r="E31" i="1"/>
  <c r="I32" i="1"/>
  <c r="G32" i="1"/>
  <c r="E32" i="1"/>
  <c r="G33" i="1"/>
  <c r="E33" i="1"/>
  <c r="I34" i="1"/>
  <c r="G34" i="1"/>
  <c r="E34" i="1"/>
  <c r="I35" i="1"/>
  <c r="G35" i="1"/>
  <c r="E35" i="1"/>
  <c r="I36" i="1"/>
  <c r="G36" i="1"/>
  <c r="E36" i="1"/>
  <c r="K37" i="1"/>
  <c r="I37" i="1"/>
  <c r="G37" i="1"/>
  <c r="E37" i="1"/>
  <c r="I38" i="1"/>
  <c r="G38" i="1"/>
  <c r="E38" i="1"/>
  <c r="I39" i="1"/>
  <c r="G39" i="1"/>
  <c r="E39" i="1"/>
  <c r="I40" i="1"/>
  <c r="G40" i="1"/>
  <c r="E40" i="1"/>
  <c r="K41" i="1"/>
  <c r="I41" i="1"/>
  <c r="G41" i="1"/>
  <c r="E41" i="1"/>
  <c r="K42" i="1"/>
  <c r="I42" i="1"/>
  <c r="G42" i="1"/>
  <c r="E42" i="1"/>
  <c r="I43" i="1"/>
  <c r="G43" i="1"/>
  <c r="E43" i="1"/>
  <c r="I44" i="1"/>
  <c r="G44" i="1"/>
  <c r="E44" i="1"/>
  <c r="I45" i="1"/>
  <c r="G45" i="1"/>
  <c r="E45" i="1"/>
  <c r="K46" i="1"/>
  <c r="I46" i="1"/>
  <c r="G46" i="1"/>
  <c r="E46" i="1"/>
  <c r="I47" i="1"/>
  <c r="G47" i="1"/>
  <c r="E47" i="1"/>
  <c r="I48" i="1"/>
  <c r="G48" i="1"/>
  <c r="E48" i="1"/>
  <c r="I49" i="1"/>
  <c r="G49" i="1"/>
  <c r="E49" i="1"/>
  <c r="I50" i="1"/>
  <c r="G50" i="1"/>
  <c r="E50" i="1"/>
  <c r="I51" i="1"/>
  <c r="G51" i="1"/>
  <c r="E51" i="1"/>
  <c r="I52" i="1"/>
  <c r="G52" i="1"/>
  <c r="E52" i="1"/>
  <c r="I53" i="1"/>
  <c r="G53" i="1"/>
  <c r="E53" i="1"/>
  <c r="I54" i="1"/>
  <c r="G54" i="1"/>
  <c r="E54" i="1"/>
  <c r="I55" i="1"/>
  <c r="G55" i="1"/>
  <c r="E55" i="1"/>
  <c r="I56" i="1"/>
  <c r="G56" i="1"/>
  <c r="E56" i="1"/>
  <c r="K57" i="1"/>
  <c r="I57" i="1"/>
  <c r="G57" i="1"/>
  <c r="E57" i="1"/>
  <c r="I58" i="1"/>
  <c r="G58" i="1"/>
  <c r="E58" i="1"/>
  <c r="I59" i="1"/>
  <c r="G59" i="1"/>
  <c r="E59" i="1"/>
  <c r="I60" i="1"/>
  <c r="G60" i="1"/>
  <c r="E60" i="1"/>
  <c r="I61" i="1"/>
  <c r="G61" i="1"/>
  <c r="E61" i="1"/>
  <c r="I62" i="1"/>
  <c r="G62" i="1"/>
  <c r="E62" i="1"/>
  <c r="I63" i="1"/>
  <c r="G63" i="1"/>
  <c r="E63" i="1"/>
  <c r="I64" i="1"/>
  <c r="G64" i="1"/>
  <c r="E64" i="1"/>
  <c r="I65" i="1" l="1"/>
  <c r="G65" i="1" l="1"/>
  <c r="E65" i="1"/>
</calcChain>
</file>

<file path=xl/sharedStrings.xml><?xml version="1.0" encoding="utf-8"?>
<sst xmlns="http://schemas.openxmlformats.org/spreadsheetml/2006/main" count="808" uniqueCount="153">
  <si>
    <t>Country</t>
  </si>
  <si>
    <t>Source</t>
  </si>
  <si>
    <t>Year</t>
  </si>
  <si>
    <t>Total_deliveries</t>
  </si>
  <si>
    <t>Twinning_rate</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</si>
  <si>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</si>
  <si>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</si>
  <si>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</si>
  <si>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</si>
  <si>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</si>
  <si>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</si>
  <si>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</si>
  <si>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</si>
  <si>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</si>
  <si>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</si>
  <si>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</si>
  <si>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</si>
  <si>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</si>
  <si>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</si>
  <si>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</si>
  <si>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</si>
  <si>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</si>
  <si>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</si>
  <si>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</si>
  <si>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</si>
  <si>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</si>
  <si>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</si>
  <si>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</si>
  <si>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</si>
  <si>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</si>
  <si>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</si>
  <si>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</si>
  <si>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</si>
  <si>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</si>
  <si>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</si>
  <si>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</si>
  <si>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</si>
  <si>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</si>
  <si>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</si>
  <si>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</si>
  <si>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</si>
  <si>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</si>
  <si>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</si>
  <si>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</si>
  <si>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</si>
  <si>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</si>
  <si>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</si>
  <si>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</si>
  <si>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</si>
  <si>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</si>
  <si>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</si>
  <si>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</si>
  <si>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</si>
  <si>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</si>
  <si>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</si>
  <si>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</si>
  <si>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</si>
  <si>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</si>
  <si>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</si>
  <si>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</si>
  <si>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</si>
  <si>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</si>
  <si>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</si>
  <si>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</si>
  <si>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</si>
  <si>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</si>
  <si>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</si>
  <si>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</si>
  <si>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Multiple_rate</t>
  </si>
  <si>
    <t>2019</t>
  </si>
  <si>
    <t>Stillbirths</t>
  </si>
  <si>
    <t>Singletons</t>
  </si>
  <si>
    <t>SOURCES</t>
  </si>
  <si>
    <t>NOTES</t>
  </si>
  <si>
    <t>Twin_deliveries</t>
  </si>
  <si>
    <t>Twin_children</t>
  </si>
  <si>
    <t>Triplet_deliveries</t>
  </si>
  <si>
    <t>Triplet_children</t>
  </si>
  <si>
    <t>Quadruplet_plus_deliveries</t>
  </si>
  <si>
    <t>Quadruplet_plus_children</t>
  </si>
  <si>
    <t>Multiple_deliveries</t>
  </si>
  <si>
    <t>Multiple_children</t>
  </si>
  <si>
    <t>Total_children</t>
  </si>
  <si>
    <t>Contents by sheet</t>
  </si>
  <si>
    <t>input data</t>
  </si>
  <si>
    <t>Data on multiple births from the original sources</t>
  </si>
  <si>
    <t>metadata - variables input data</t>
  </si>
  <si>
    <t>Description of each column in the input data sheet</t>
  </si>
  <si>
    <t>metadata - sources &amp; notes</t>
  </si>
  <si>
    <t xml:space="preserve">Complete list of data source references, together with relevant definitions,  notes and warnings about the data </t>
  </si>
  <si>
    <t>Variables in the "input data" sheet</t>
  </si>
  <si>
    <t>Column name</t>
  </si>
  <si>
    <t>Description</t>
  </si>
  <si>
    <t>Country name</t>
  </si>
  <si>
    <t>Code of data source</t>
  </si>
  <si>
    <t>Year of reference of the data</t>
  </si>
  <si>
    <t>Indicates whether the case with stillborn children are included in the data:</t>
  </si>
  <si>
    <t>0 = No (Stillbirths not inlcuded)</t>
  </si>
  <si>
    <t>1 = Yes (Stillbirths included)</t>
  </si>
  <si>
    <t>2 = Mixed (Stillbirths included in some cases or columns)</t>
  </si>
  <si>
    <t>99 = Information not available</t>
  </si>
  <si>
    <t>Number of single deliveries/children</t>
  </si>
  <si>
    <t>Number of twin deliveries</t>
  </si>
  <si>
    <t>Number of children from twin deliveries</t>
  </si>
  <si>
    <t>Number of triplet deliveries*</t>
  </si>
  <si>
    <t>Number of children from triplet deliveries</t>
  </si>
  <si>
    <t>Number of deliveries involving quadruplets, quintuplets, etc.</t>
  </si>
  <si>
    <t>Number of children from quadruplet, quintuplet, etc. deliveries</t>
  </si>
  <si>
    <t>Total number of multiple deliveries (i.e. the sum of twin, triplet and quadruplet+ deliveries).</t>
  </si>
  <si>
    <t>Number of children born from multiple deliveries (twin babies, triplet babies, etc.)</t>
  </si>
  <si>
    <t>Total number of deliveries (i.e., single and multiple deliveries combined)</t>
  </si>
  <si>
    <t>Total number of children born**</t>
  </si>
  <si>
    <t>Number of twin deliveries / total number of deliveries, per 1,000.</t>
  </si>
  <si>
    <t>Number of multiple deliveries / total number of deliveries, per 1,000.</t>
  </si>
  <si>
    <r>
      <t>* In a few cases, the column </t>
    </r>
    <r>
      <rPr>
        <i/>
        <sz val="7"/>
        <rFont val="Arial"/>
        <family val="2"/>
        <scheme val="minor"/>
      </rPr>
      <t>Triplet_deliveries</t>
    </r>
    <r>
      <rPr>
        <sz val="7"/>
        <rFont val="Arial"/>
        <family val="2"/>
        <scheme val="minor"/>
      </rPr>
      <t> also includes the number of quadruplets and more children when it is impossible to distinguish the deliveries by number of children (among the deliveries involving at least three children) in the original data sources. See "metadata - sources &amp; notes".</t>
    </r>
  </si>
  <si>
    <t>** Not necessarily born alive. See "metadata - sources &amp; notes" for specifications regarding the treatment of the stillbirths in the statistics.</t>
  </si>
  <si>
    <t>DATA OBTAINED FROM THE SOURCES</t>
  </si>
  <si>
    <t>VARIABLES CALCULATED IN THE HMBD</t>
  </si>
  <si>
    <t>ELSTAT</t>
  </si>
  <si>
    <r>
      <t xml:space="preserve">Data from 1956 to 2019 </t>
    </r>
    <r>
      <rPr>
        <sz val="14"/>
        <color rgb="FF0070C0"/>
        <rFont val="Arial"/>
        <family val="2"/>
        <scheme val="minor"/>
      </rPr>
      <t>(Source_code: ELSTAT)</t>
    </r>
  </si>
  <si>
    <t>https://www.statistics.gr/en/statistics/-/publication/SPO03/-</t>
  </si>
  <si>
    <t>Accessed: 02/06/2021</t>
  </si>
  <si>
    <t>Hellenic Statistical Authority. “Single - Multiple birhts by status of the newborn (alive - dead) (1956-2019)”. Available online:</t>
  </si>
  <si>
    <t>NA</t>
  </si>
  <si>
    <t>° Number of singleton deliveries/children</t>
  </si>
  <si>
    <t>° Total number of children born</t>
  </si>
  <si>
    <t>° Number of twin deliveries</t>
  </si>
  <si>
    <t>° Number of triplet deliveries</t>
  </si>
  <si>
    <t>° Number of deliveries of quadruplets or more children</t>
  </si>
  <si>
    <t>° Total number of deliveries</t>
  </si>
  <si>
    <t>° Twinning rate</t>
  </si>
  <si>
    <t>° Multiple rate</t>
  </si>
  <si>
    <t>° Number of twins born</t>
  </si>
  <si>
    <t>° Number of triplets born</t>
  </si>
  <si>
    <t>° Number of quadruplets born</t>
  </si>
  <si>
    <t>° Number of quintuplets born</t>
  </si>
  <si>
    <t>° Number of sextuplets born</t>
  </si>
  <si>
    <t>The data include both live and the still born children. Live/still birth combinations by year and multiplicity (i.e. single, twin birth, etc.) are available in the original data source for the entire period 1956-2019.</t>
  </si>
  <si>
    <r>
      <t xml:space="preserve">Source: ELSTAT, </t>
    </r>
    <r>
      <rPr>
        <i/>
        <sz val="11"/>
        <color rgb="FF000000"/>
        <rFont val="Arial"/>
        <family val="2"/>
        <scheme val="minor"/>
      </rPr>
      <t>Metadata in Euro-SDMX format (ESMS) - Vital Statistcs</t>
    </r>
    <r>
      <rPr>
        <sz val="11"/>
        <color rgb="FF000000"/>
        <rFont val="Arial"/>
        <family val="2"/>
        <scheme val="minor"/>
      </rPr>
      <t xml:space="preserve">: </t>
    </r>
  </si>
  <si>
    <t>https://www.statistics.gr/en/statistics?p_p_id=documents_WAR_publicationsportlet_INSTANCE_0qObWqzRnXSG&amp;p_p_lifecycle=2&amp;p_p_state=normal&amp;p_p_mode=view&amp;p_p_cacheability=cacheLevelPage&amp;p_p_col_id=column-1&amp;p_p_col_count=4&amp;p_p_col_pos=1&amp;_documents_WAR_publicationsportlet_INSTANCE_0qObWqzRnXSG_javax.faces.resource=document&amp;_documents_WAR_publicationsportlet_INSTANCE_0qObWqzRnXSG_ln=downloadResources&amp;_documents_WAR_publicationsportlet_INSTANCE_0qObWqzRnXSG_documentID=116921&amp;_documents_WAR_publicationsportlet_INSTANCE_0qObWqzRnXSG_locale=en</t>
  </si>
  <si>
    <t>Accessed: 03/06/2021</t>
  </si>
  <si>
    <t xml:space="preserve">Vital statistics cover the usual residence population regardless of where the events took place. "Resident" is the 'usual resident' in the place where a person normally spends the daily period of rest, regardless of temporary absences, for a period of at least 12 months. </t>
  </si>
  <si>
    <r>
      <rPr>
        <b/>
        <sz val="11"/>
        <color rgb="FF000000"/>
        <rFont val="Arial"/>
        <family val="2"/>
        <scheme val="minor"/>
      </rPr>
      <t>Definitions and coverage</t>
    </r>
    <r>
      <rPr>
        <sz val="11"/>
        <color rgb="FF000000"/>
        <rFont val="Arial"/>
        <family val="2"/>
        <scheme val="minor"/>
      </rPr>
      <t>: [Live] "birth" is the birth of a child who breathes or shows any other evidence of life, regardless of gestational age. "Stillbirth" is the fetal death regardless of the duration of the pregnancy.</t>
    </r>
  </si>
  <si>
    <t>Greece</t>
  </si>
  <si>
    <r>
      <t xml:space="preserve">This file provides the input data and metadata for </t>
    </r>
    <r>
      <rPr>
        <b/>
        <sz val="14"/>
        <color rgb="FF0070C0"/>
        <rFont val="Arial"/>
        <family val="2"/>
      </rPr>
      <t>Greece</t>
    </r>
    <r>
      <rPr>
        <sz val="14"/>
        <rFont val="Arial"/>
        <family val="2"/>
      </rPr>
      <t>,</t>
    </r>
    <r>
      <rPr>
        <sz val="12"/>
        <color rgb="FF000000"/>
        <rFont val="Arial"/>
        <family val="2"/>
      </rPr>
      <t xml:space="preserve"> as used for the construction of the Human Multiple Births Database (HMBD).</t>
    </r>
  </si>
  <si>
    <t xml:space="preserve">The HMBD is freely avalibale at: </t>
  </si>
  <si>
    <t>www.twinbirths.org</t>
  </si>
  <si>
    <t>To cite the data or other material offered by the HMBD, please refer to our citation guidelines:</t>
  </si>
  <si>
    <t>https://www.twinbirths.org/en/citation-and-acknowledgements/</t>
  </si>
  <si>
    <t>Flag</t>
  </si>
  <si>
    <r>
      <t xml:space="preserve">Indicates caution. For the cases with </t>
    </r>
    <r>
      <rPr>
        <i/>
        <sz val="10"/>
        <color rgb="FF000000"/>
        <rFont val="Arial"/>
        <family val="2"/>
      </rPr>
      <t>Flag</t>
    </r>
    <r>
      <rPr>
        <sz val="10"/>
        <color rgb="FF000000"/>
        <rFont val="Arial"/>
        <family val="2"/>
      </rPr>
      <t xml:space="preserve"> = 1, data users are advised to read the notes and warnings for the concerned year and/or data source available in the sheet 'metadata - sources &amp; notes': </t>
    </r>
  </si>
  <si>
    <t>0 = No warnings identified</t>
  </si>
  <si>
    <t>1 = Warnings should be consulted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</si>
</sst>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sz val="10"/>
      <color theme="1"/>
      <name val="Arial"/>
      <family val="2"/>
    </font>
    <font>
      <sz val="10"/>
      <color theme="1"/>
      <name val="Arial"/>
      <family val="2"/>
    </font>
    <font>
      <sz val="10"/>
      <color rgb="FFFF0000"/>
      <name val="Arial"/>
      <family val="2"/>
    </font>
    <font>
      <b/>
      <sz val="10"/>
      <color rgb="FF000000"/>
      <name val="Arial"/>
      <family val="2"/>
    </font>
    <font>
      <b/>
      <sz val="10"/>
      <color rgb="FFFF0000"/>
      <name val="Arial"/>
      <family val="2"/>
    </font>
    <font>
      <b/>
      <sz val="14"/>
      <color rgb="FF0070C0"/>
      <name val="Arial"/>
      <family val="2"/>
      <scheme val="minor"/>
    </font>
    <font>
      <sz val="14"/>
      <color rgb="FF0070C0"/>
      <name val="Arial"/>
      <family val="2"/>
      <scheme val="minor"/>
    </font>
    <font>
      <sz val="11"/>
      <color rgb="FF000000"/>
      <name val="Arial"/>
      <family val="2"/>
      <scheme val="minor"/>
    </font>
    <font>
      <u/>
      <sz val="11"/>
      <color rgb="FF000000"/>
      <name val="Arial"/>
      <family val="2"/>
      <scheme val="minor"/>
    </font>
    <font>
      <u/>
      <sz val="10"/>
      <color theme="10"/>
      <name val="Arial"/>
      <family val="2"/>
    </font>
    <font>
      <b/>
      <sz val="11"/>
      <color rgb="FF0070C0"/>
      <name val="Arial"/>
      <family val="2"/>
      <scheme val="minor"/>
    </font>
    <font>
      <b/>
      <u/>
      <sz val="11"/>
      <color rgb="FF0070C0"/>
      <name val="Arial"/>
      <family val="2"/>
      <scheme val="minor"/>
    </font>
    <font>
      <sz val="11"/>
      <name val="Arial"/>
      <family val="2"/>
      <scheme val="minor"/>
    </font>
    <font>
      <u/>
      <sz val="11"/>
      <color theme="10"/>
      <name val="Arial"/>
      <family val="2"/>
      <scheme val="minor"/>
    </font>
    <font>
      <sz val="10"/>
      <color rgb="FF000000"/>
      <name val="Arial"/>
      <family val="2"/>
    </font>
    <font>
      <sz val="12"/>
      <color rgb="FF000000"/>
      <name val="Arial"/>
      <family val="2"/>
    </font>
    <font>
      <b/>
      <sz val="14"/>
      <color rgb="FF0070C0"/>
      <name val="Arial"/>
      <family val="2"/>
    </font>
    <font>
      <sz val="14"/>
      <name val="Arial"/>
      <family val="2"/>
    </font>
    <font>
      <b/>
      <sz val="12"/>
      <color rgb="FF000000"/>
      <name val="Arial"/>
      <family val="2"/>
    </font>
    <font>
      <b/>
      <sz val="12"/>
      <color rgb="FF0070C0"/>
      <name val="Arial"/>
      <family val="2"/>
    </font>
    <font>
      <i/>
      <sz val="10"/>
      <color theme="1"/>
      <name val="Arial"/>
      <family val="2"/>
    </font>
    <font>
      <i/>
      <sz val="10"/>
      <name val="Arial"/>
      <family val="2"/>
    </font>
    <font>
      <sz val="7"/>
      <name val="Arial"/>
      <family val="2"/>
      <scheme val="minor"/>
    </font>
    <font>
      <i/>
      <sz val="7"/>
      <name val="Arial"/>
      <family val="2"/>
      <scheme val="minor"/>
    </font>
    <font>
      <sz val="8"/>
      <color rgb="FF000000"/>
      <name val="Arial"/>
      <family val="2"/>
    </font>
    <font>
      <b/>
      <sz val="10"/>
      <name val="Arial"/>
      <family val="2"/>
    </font>
    <font>
      <sz val="10"/>
      <name val="Arial"/>
      <family val="2"/>
    </font>
    <font>
      <b/>
      <sz val="11"/>
      <color rgb="FF000000"/>
      <name val="Arial"/>
      <family val="2"/>
      <scheme val="minor"/>
    </font>
    <font>
      <i/>
      <sz val="11"/>
      <color rgb="FF000000"/>
      <name val="Arial"/>
      <family val="2"/>
      <scheme val="minor"/>
    </font>
    <font>
      <sz val="10"/>
      <color rgb="FF000000"/>
      <name val="Arial"/>
      <family val="2"/>
      <scheme val="minor"/>
    </font>
    <font>
      <sz val="11"/>
      <color rgb="FFFF0000"/>
      <name val="Arial"/>
      <family val="2"/>
      <scheme val="minor"/>
    </font>
    <font>
      <sz val="11"/>
      <color rgb="FF000000"/>
      <name val="Arial"/>
      <family val="2"/>
    </font>
    <font>
      <u/>
      <sz val="11"/>
      <color theme="10"/>
      <name val="Arial"/>
      <family val="2"/>
    </font>
    <font>
      <sz val="10"/>
      <color rgb="FF212D3A"/>
      <name val="Arial"/>
      <family val="2"/>
    </font>
    <font>
      <u/>
      <sz val="9"/>
      <color theme="10"/>
      <name val="Arial"/>
      <family val="2"/>
    </font>
    <font>
      <i/>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FFFFF"/>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75">
    <xf numFmtId="0" fontId="0" fillId="0" borderId="0" xfId="0" applyFont="1" applyAlignment="1"/>
    <xf numFmtId="0" fontId="8" fillId="2" borderId="0" xfId="0" applyFont="1" applyFill="1"/>
    <xf numFmtId="0" fontId="1" fillId="0" borderId="0" xfId="0" applyFont="1" applyFill="1" applyBorder="1" applyAlignment="1">
      <alignment horizontal="right" wrapText="1"/>
    </xf>
    <xf numFmtId="0" fontId="5"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0" fillId="0" borderId="0" xfId="0" applyFont="1" applyFill="1" applyBorder="1" applyAlignment="1"/>
    <xf numFmtId="0" fontId="3" fillId="0" borderId="0" xfId="0" applyFont="1" applyFill="1" applyBorder="1" applyAlignment="1"/>
    <xf numFmtId="0" fontId="2" fillId="0" borderId="0" xfId="0" applyFont="1" applyFill="1" applyBorder="1" applyAlignment="1">
      <alignment horizontal="right"/>
    </xf>
    <xf numFmtId="0" fontId="0" fillId="0" borderId="0" xfId="0" applyFont="1" applyFill="1" applyBorder="1" applyAlignment="1">
      <alignment horizontal="right"/>
    </xf>
    <xf numFmtId="0" fontId="8" fillId="2" borderId="0" xfId="0" applyFont="1" applyFill="1" applyAlignment="1">
      <alignment vertical="center" wrapText="1"/>
    </xf>
    <xf numFmtId="0" fontId="8" fillId="2" borderId="0" xfId="0" applyFont="1" applyFill="1" applyAlignment="1"/>
    <xf numFmtId="0" fontId="11" fillId="2" borderId="0" xfId="0" applyFont="1" applyFill="1" applyAlignment="1"/>
    <xf numFmtId="0" fontId="16" fillId="2" borderId="0" xfId="0" applyFont="1" applyFill="1" applyAlignment="1"/>
    <xf numFmtId="0" fontId="0" fillId="2" borderId="0" xfId="0" applyFont="1" applyFill="1" applyAlignment="1"/>
    <xf numFmtId="0" fontId="14" fillId="2" borderId="0" xfId="1" applyFont="1" applyFill="1" applyAlignment="1"/>
    <xf numFmtId="0" fontId="19" fillId="2" borderId="0" xfId="0" applyFont="1" applyFill="1" applyAlignment="1"/>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xf>
    <xf numFmtId="0" fontId="21" fillId="2" borderId="3" xfId="0" applyFont="1" applyFill="1" applyBorder="1" applyAlignment="1">
      <alignment horizontal="center" wrapText="1"/>
    </xf>
    <xf numFmtId="0" fontId="15" fillId="2" borderId="4" xfId="0" applyFont="1" applyFill="1" applyBorder="1" applyAlignment="1"/>
    <xf numFmtId="0" fontId="22" fillId="2" borderId="3" xfId="0" applyFont="1" applyFill="1" applyBorder="1" applyAlignment="1">
      <alignment horizontal="center" wrapText="1"/>
    </xf>
    <xf numFmtId="0" fontId="0" fillId="2" borderId="4" xfId="0" applyFont="1" applyFill="1" applyBorder="1" applyAlignment="1"/>
    <xf numFmtId="0" fontId="25" fillId="2" borderId="0" xfId="0" applyFont="1" applyFill="1" applyBorder="1" applyAlignment="1">
      <alignment vertical="top"/>
    </xf>
    <xf numFmtId="0" fontId="0" fillId="2" borderId="0" xfId="0" applyFont="1" applyFill="1" applyAlignment="1">
      <alignment wrapText="1"/>
    </xf>
    <xf numFmtId="0" fontId="12" fillId="3" borderId="8" xfId="0" applyFont="1" applyFill="1" applyBorder="1"/>
    <xf numFmtId="0" fontId="9" fillId="3" borderId="0" xfId="0" applyFont="1" applyFill="1" applyBorder="1"/>
    <xf numFmtId="0" fontId="8" fillId="3" borderId="0" xfId="0" applyFont="1" applyFill="1" applyBorder="1"/>
    <xf numFmtId="0" fontId="8" fillId="3" borderId="9" xfId="0" applyFont="1" applyFill="1" applyBorder="1"/>
    <xf numFmtId="0" fontId="8" fillId="3" borderId="8" xfId="0" applyFont="1" applyFill="1" applyBorder="1" applyAlignment="1">
      <alignment wrapText="1"/>
    </xf>
    <xf numFmtId="0" fontId="8" fillId="3" borderId="0" xfId="0" applyFont="1" applyFill="1" applyBorder="1" applyAlignment="1">
      <alignment wrapText="1"/>
    </xf>
    <xf numFmtId="0" fontId="8" fillId="3" borderId="9" xfId="0" applyFont="1" applyFill="1" applyBorder="1" applyAlignment="1">
      <alignment wrapText="1"/>
    </xf>
    <xf numFmtId="0" fontId="13" fillId="3" borderId="8" xfId="1" applyFont="1" applyFill="1" applyBorder="1" applyAlignment="1">
      <alignment vertical="center"/>
    </xf>
    <xf numFmtId="0" fontId="8" fillId="3" borderId="8" xfId="0" applyFont="1" applyFill="1" applyBorder="1" applyAlignment="1"/>
    <xf numFmtId="0" fontId="12" fillId="4" borderId="8" xfId="0" applyFont="1" applyFill="1" applyBorder="1"/>
    <xf numFmtId="0" fontId="13" fillId="4" borderId="8" xfId="0" applyFont="1" applyFill="1" applyBorder="1"/>
    <xf numFmtId="0" fontId="8" fillId="3" borderId="0"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26" fillId="0" borderId="0" xfId="0" applyFont="1" applyFill="1" applyBorder="1" applyAlignment="1">
      <alignment horizontal="right" wrapText="1"/>
    </xf>
    <xf numFmtId="0" fontId="27" fillId="0" borderId="0" xfId="0" applyFont="1" applyFill="1" applyBorder="1" applyAlignment="1">
      <alignment horizontal="right"/>
    </xf>
    <xf numFmtId="0" fontId="8" fillId="3" borderId="8" xfId="0" applyFont="1" applyFill="1" applyBorder="1" applyAlignment="1">
      <alignment vertical="center"/>
    </xf>
    <xf numFmtId="0" fontId="10" fillId="3" borderId="8" xfId="1" applyFill="1" applyBorder="1" applyAlignment="1"/>
    <xf numFmtId="0" fontId="32" fillId="2" borderId="0" xfId="0" applyFont="1" applyFill="1" applyAlignment="1"/>
    <xf numFmtId="0" fontId="33" fillId="2" borderId="0" xfId="1" applyFont="1" applyFill="1" applyAlignment="1"/>
    <xf numFmtId="0" fontId="34" fillId="0" borderId="13" xfId="0" applyFont="1" applyBorder="1" applyAlignment="1"/>
    <xf numFmtId="0" fontId="10" fillId="2" borderId="13" xfId="1" applyFill="1" applyBorder="1" applyAlignment="1"/>
    <xf numFmtId="0" fontId="0" fillId="2" borderId="13" xfId="0" applyFont="1" applyFill="1" applyBorder="1" applyAlignment="1"/>
    <xf numFmtId="0" fontId="10" fillId="2" borderId="0" xfId="1" applyFont="1" applyFill="1" applyAlignment="1"/>
    <xf numFmtId="0" fontId="26" fillId="0" borderId="0" xfId="0" applyFont="1" applyFill="1" applyBorder="1" applyAlignment="1">
      <alignment horizontal="right"/>
    </xf>
    <xf numFmtId="0" fontId="35" fillId="2" borderId="0" xfId="1" applyFont="1" applyFill="1" applyAlignment="1">
      <alignment horizontal="right"/>
    </xf>
    <xf numFmtId="0" fontId="15" fillId="2" borderId="14" xfId="0" applyFont="1" applyFill="1" applyBorder="1" applyAlignment="1"/>
    <xf numFmtId="0" fontId="15" fillId="2" borderId="16" xfId="0" applyFont="1" applyFill="1" applyBorder="1" applyAlignment="1"/>
    <xf numFmtId="0" fontId="15" fillId="2" borderId="17" xfId="0" applyFont="1" applyFill="1" applyBorder="1" applyAlignment="1"/>
    <xf numFmtId="0" fontId="0" fillId="2" borderId="14" xfId="0" applyFont="1" applyFill="1" applyBorder="1" applyAlignment="1"/>
    <xf numFmtId="0" fontId="15" fillId="2" borderId="14" xfId="0" applyFont="1" applyFill="1" applyBorder="1" applyAlignment="1">
      <alignment wrapText="1"/>
    </xf>
    <xf numFmtId="0" fontId="15" fillId="2" borderId="19" xfId="0" applyFont="1" applyFill="1" applyBorder="1" applyAlignment="1"/>
    <xf numFmtId="0" fontId="31" fillId="2" borderId="0" xfId="0" applyFont="1" applyFill="1" applyAlignment="1"/>
    <xf numFmtId="0" fontId="21" fillId="2" borderId="15" xfId="0" applyFont="1" applyFill="1" applyBorder="1" applyAlignment="1">
      <alignment horizontal="center" vertical="top" wrapText="1"/>
    </xf>
    <xf numFmtId="0" fontId="21" fillId="2" borderId="18"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3" fillId="0" borderId="0" xfId="0" applyFont="1" applyBorder="1" applyAlignment="1">
      <alignment horizontal="left" vertical="top"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10" fillId="3" borderId="8" xfId="1"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8"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538518</xdr:colOff>
      <xdr:row>5</xdr:row>
      <xdr:rowOff>38099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2047278" cy="800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3471800</xdr:colOff>
      <xdr:row>0</xdr:row>
      <xdr:rowOff>38100</xdr:rowOff>
    </xdr:from>
    <xdr:to>
      <xdr:col>1</xdr:col>
      <xdr:colOff>5148618</xdr:colOff>
      <xdr:row>3</xdr:row>
      <xdr:rowOff>105409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0950" y="38100"/>
          <a:ext cx="1676818" cy="6197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657225</xdr:colOff>
      <xdr:row>0</xdr:row>
      <xdr:rowOff>57150</xdr:rowOff>
    </xdr:from>
    <xdr:to>
      <xdr:col>20</xdr:col>
      <xdr:colOff>771943</xdr:colOff>
      <xdr:row>4</xdr:row>
      <xdr:rowOff>26669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59025" y="57150"/>
          <a:ext cx="1714918" cy="680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twinbirths.org/en/citation-and-acknowledgements/" TargetMode="External"/><Relationship Id="rId1" Type="http://schemas.openxmlformats.org/officeDocument/2006/relationships/hyperlink" Target="http://www.twinbirth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twinbirths.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winbirths.org/" TargetMode="External"/><Relationship Id="rId1" Type="http://schemas.openxmlformats.org/officeDocument/2006/relationships/hyperlink" Target="https://www.statistics.gr/en/statistics/-/publication/SPO03/-"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6"/>
  <sheetViews>
    <sheetView tabSelected="1" zoomScale="90" zoomScaleNormal="90" workbookViewId="0"/>
  </sheetViews>
  <sheetFormatPr baseColWidth="10" defaultColWidth="11.54296875" defaultRowHeight="12.5" x14ac:dyDescent="0.25"/>
  <cols>
    <col min="1" max="16384" width="11.54296875" style="14"/>
  </cols>
  <sheetData>
    <row r="8" spans="1:4" ht="18" x14ac:dyDescent="0.4">
      <c r="A8" s="13" t="s">
        <v>144</v>
      </c>
    </row>
    <row r="9" spans="1:4" ht="14" x14ac:dyDescent="0.3">
      <c r="A9" s="45" t="s">
        <v>145</v>
      </c>
      <c r="D9" s="46" t="s">
        <v>146</v>
      </c>
    </row>
    <row r="12" spans="1:4" ht="14" x14ac:dyDescent="0.3">
      <c r="A12" s="12" t="s">
        <v>83</v>
      </c>
    </row>
    <row r="13" spans="1:4" ht="14" x14ac:dyDescent="0.3">
      <c r="A13" s="11"/>
    </row>
    <row r="14" spans="1:4" ht="14" x14ac:dyDescent="0.3">
      <c r="A14" s="15" t="s">
        <v>84</v>
      </c>
    </row>
    <row r="15" spans="1:4" ht="14" x14ac:dyDescent="0.3">
      <c r="A15" s="11" t="s">
        <v>85</v>
      </c>
    </row>
    <row r="16" spans="1:4" ht="14" x14ac:dyDescent="0.3">
      <c r="A16" s="11"/>
    </row>
    <row r="17" spans="1:11" ht="14" x14ac:dyDescent="0.3">
      <c r="A17" s="15" t="s">
        <v>86</v>
      </c>
    </row>
    <row r="18" spans="1:11" ht="14" x14ac:dyDescent="0.3">
      <c r="A18" s="11" t="s">
        <v>87</v>
      </c>
    </row>
    <row r="19" spans="1:11" ht="14" x14ac:dyDescent="0.3">
      <c r="A19" s="11"/>
    </row>
    <row r="20" spans="1:11" ht="14" x14ac:dyDescent="0.3">
      <c r="A20" s="15" t="s">
        <v>88</v>
      </c>
    </row>
    <row r="21" spans="1:11" ht="14" x14ac:dyDescent="0.3">
      <c r="A21" s="11" t="s">
        <v>89</v>
      </c>
    </row>
    <row r="22" spans="1:11" ht="15.5" x14ac:dyDescent="0.35">
      <c r="A22" s="13"/>
    </row>
    <row r="25" spans="1:11" x14ac:dyDescent="0.25">
      <c r="A25" s="47" t="s">
        <v>147</v>
      </c>
      <c r="B25" s="48"/>
      <c r="C25" s="49"/>
      <c r="D25" s="49"/>
      <c r="E25" s="49"/>
      <c r="F25" s="49"/>
      <c r="G25" s="49"/>
      <c r="H25" s="49"/>
      <c r="I25" s="49"/>
      <c r="J25" s="49"/>
      <c r="K25" s="49"/>
    </row>
    <row r="26" spans="1:11" x14ac:dyDescent="0.25">
      <c r="A26" s="50" t="s">
        <v>148</v>
      </c>
    </row>
  </sheetData>
  <hyperlinks>
    <hyperlink ref="A14" location="'input data'!A1" display="input data"/>
    <hyperlink ref="A17" location="'metadata - variables input data'!A1" display="metadata - variables input data"/>
    <hyperlink ref="A20" location="'metadata - sources &amp; notes'!A1" display="metadata - sources &amp; notes"/>
    <hyperlink ref="D9" r:id="rId1"/>
    <hyperlink ref="A26"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67"/>
  <sheetViews>
    <sheetView zoomScale="70" zoomScaleNormal="70" zoomScaleSheetLayoutView="80" workbookViewId="0">
      <pane xSplit="3" ySplit="1" topLeftCell="D2" activePane="bottomRight" state="frozen"/>
      <selection pane="topRight" activeCell="D1" sqref="D1"/>
      <selection pane="bottomLeft" activeCell="A2" sqref="A2"/>
      <selection pane="bottomRight"/>
    </sheetView>
  </sheetViews>
  <sheetFormatPr baseColWidth="10" defaultColWidth="14.453125" defaultRowHeight="15.75" customHeight="1" x14ac:dyDescent="0.3"/>
  <cols>
    <col min="1" max="2" width="11" style="9" customWidth="1"/>
    <col min="3" max="3" width="7.453125" style="9" customWidth="1"/>
    <col min="4" max="4" width="11" style="42" customWidth="1"/>
    <col min="5" max="5" width="11.54296875" style="42" customWidth="1"/>
    <col min="6" max="6" width="11.54296875" style="9" customWidth="1"/>
    <col min="7" max="7" width="11.54296875" style="42" customWidth="1"/>
    <col min="8" max="8" width="11.54296875" style="9" customWidth="1"/>
    <col min="9" max="9" width="11.54296875" style="42" customWidth="1"/>
    <col min="10" max="15" width="11.54296875" style="9" customWidth="1"/>
    <col min="16" max="17" width="11" style="9" customWidth="1"/>
    <col min="18" max="18" width="11.36328125" style="51" customWidth="1"/>
    <col min="19" max="19" width="10.90625" style="7" customWidth="1"/>
    <col min="20" max="16384" width="14.453125" style="6"/>
  </cols>
  <sheetData>
    <row r="1" spans="1:19" s="4" customFormat="1" ht="39.65" customHeight="1" x14ac:dyDescent="0.3">
      <c r="A1" s="2" t="s">
        <v>0</v>
      </c>
      <c r="B1" s="2" t="s">
        <v>1</v>
      </c>
      <c r="C1" s="2" t="s">
        <v>2</v>
      </c>
      <c r="D1" s="41" t="s">
        <v>70</v>
      </c>
      <c r="E1" s="41" t="s">
        <v>71</v>
      </c>
      <c r="F1" s="2" t="s">
        <v>74</v>
      </c>
      <c r="G1" s="41" t="s">
        <v>75</v>
      </c>
      <c r="H1" s="2" t="s">
        <v>76</v>
      </c>
      <c r="I1" s="41" t="s">
        <v>77</v>
      </c>
      <c r="J1" s="2" t="s">
        <v>78</v>
      </c>
      <c r="K1" s="2" t="s">
        <v>79</v>
      </c>
      <c r="L1" s="2" t="s">
        <v>80</v>
      </c>
      <c r="M1" s="2" t="s">
        <v>81</v>
      </c>
      <c r="N1" s="2" t="s">
        <v>3</v>
      </c>
      <c r="O1" s="2" t="s">
        <v>82</v>
      </c>
      <c r="P1" s="2" t="s">
        <v>4</v>
      </c>
      <c r="Q1" s="2" t="s">
        <v>68</v>
      </c>
      <c r="R1" s="41" t="s">
        <v>149</v>
      </c>
      <c r="S1" s="3"/>
    </row>
    <row r="2" spans="1:19" ht="12.5" x14ac:dyDescent="0.25">
      <c r="A2" s="8" t="s">
        <v>143</v>
      </c>
      <c r="B2" s="8" t="s">
        <v>118</v>
      </c>
      <c r="C2" s="8" t="s">
        <v>5</v>
      </c>
      <c r="D2" s="42">
        <v>1</v>
      </c>
      <c r="E2" s="42">
        <f>154381+1848</f>
        <v>156229</v>
      </c>
      <c r="F2" s="42" t="s">
        <v>123</v>
      </c>
      <c r="G2" s="42">
        <f>3624+212+74</f>
        <v>3910</v>
      </c>
      <c r="H2" s="42" t="s">
        <v>123</v>
      </c>
      <c r="I2" s="42">
        <f>51+6+3+3</f>
        <v>63</v>
      </c>
      <c r="J2" s="42" t="s">
        <v>123</v>
      </c>
      <c r="K2" s="8">
        <v>4</v>
      </c>
      <c r="L2" s="8" t="s">
        <v>123</v>
      </c>
      <c r="M2" s="8" t="s">
        <v>123</v>
      </c>
      <c r="N2" s="8" t="s">
        <v>123</v>
      </c>
      <c r="O2" s="8">
        <v>160206</v>
      </c>
      <c r="P2" s="8" t="s">
        <v>123</v>
      </c>
      <c r="Q2" s="8" t="s">
        <v>123</v>
      </c>
      <c r="R2" s="42">
        <v>0</v>
      </c>
      <c r="S2" s="5"/>
    </row>
    <row r="3" spans="1:19" ht="12.5" x14ac:dyDescent="0.25">
      <c r="A3" s="8" t="s">
        <v>143</v>
      </c>
      <c r="B3" s="8" t="s">
        <v>118</v>
      </c>
      <c r="C3" s="8" t="s">
        <v>6</v>
      </c>
      <c r="D3" s="42">
        <v>1</v>
      </c>
      <c r="E3" s="42">
        <f>152088+1787</f>
        <v>153875</v>
      </c>
      <c r="F3" s="42" t="s">
        <v>123</v>
      </c>
      <c r="G3" s="42">
        <f>3710+188+72</f>
        <v>3970</v>
      </c>
      <c r="H3" s="42" t="s">
        <v>123</v>
      </c>
      <c r="I3" s="42">
        <f>42+9</f>
        <v>51</v>
      </c>
      <c r="J3" s="42" t="s">
        <v>123</v>
      </c>
      <c r="K3" s="8">
        <v>0</v>
      </c>
      <c r="L3" s="8" t="s">
        <v>123</v>
      </c>
      <c r="M3" s="8" t="s">
        <v>123</v>
      </c>
      <c r="N3" s="8" t="s">
        <v>123</v>
      </c>
      <c r="O3" s="8">
        <v>157896</v>
      </c>
      <c r="P3" s="8" t="s">
        <v>123</v>
      </c>
      <c r="Q3" s="8" t="s">
        <v>123</v>
      </c>
      <c r="R3" s="42">
        <v>0</v>
      </c>
      <c r="S3" s="5"/>
    </row>
    <row r="4" spans="1:19" ht="12.5" x14ac:dyDescent="0.25">
      <c r="A4" s="8" t="s">
        <v>143</v>
      </c>
      <c r="B4" s="8" t="s">
        <v>118</v>
      </c>
      <c r="C4" s="8" t="s">
        <v>7</v>
      </c>
      <c r="D4" s="42">
        <v>1</v>
      </c>
      <c r="E4" s="42">
        <f>151518+1917</f>
        <v>153435</v>
      </c>
      <c r="F4" s="42" t="s">
        <v>123</v>
      </c>
      <c r="G4" s="42">
        <f>3672+190+74</f>
        <v>3936</v>
      </c>
      <c r="H4" s="42" t="s">
        <v>123</v>
      </c>
      <c r="I4" s="42">
        <f>66+6+9</f>
        <v>81</v>
      </c>
      <c r="J4" s="42" t="s">
        <v>123</v>
      </c>
      <c r="K4" s="8">
        <v>4</v>
      </c>
      <c r="L4" s="8" t="s">
        <v>123</v>
      </c>
      <c r="M4" s="8" t="s">
        <v>123</v>
      </c>
      <c r="N4" s="8" t="s">
        <v>123</v>
      </c>
      <c r="O4" s="8">
        <v>157456</v>
      </c>
      <c r="P4" s="8" t="s">
        <v>123</v>
      </c>
      <c r="Q4" s="8" t="s">
        <v>123</v>
      </c>
      <c r="R4" s="42">
        <v>0</v>
      </c>
      <c r="S4" s="5"/>
    </row>
    <row r="5" spans="1:19" ht="12.5" x14ac:dyDescent="0.25">
      <c r="A5" s="8" t="s">
        <v>143</v>
      </c>
      <c r="B5" s="8" t="s">
        <v>118</v>
      </c>
      <c r="C5" s="8" t="s">
        <v>8</v>
      </c>
      <c r="D5" s="42">
        <v>1</v>
      </c>
      <c r="E5" s="42">
        <f>156306+1991</f>
        <v>158297</v>
      </c>
      <c r="F5" s="42" t="s">
        <v>123</v>
      </c>
      <c r="G5" s="42">
        <f>3740+164+86</f>
        <v>3990</v>
      </c>
      <c r="H5" s="42" t="s">
        <v>123</v>
      </c>
      <c r="I5" s="42">
        <f>60+6</f>
        <v>66</v>
      </c>
      <c r="J5" s="42" t="s">
        <v>123</v>
      </c>
      <c r="K5" s="8">
        <f>8</f>
        <v>8</v>
      </c>
      <c r="L5" s="8" t="s">
        <v>123</v>
      </c>
      <c r="M5" s="8" t="s">
        <v>123</v>
      </c>
      <c r="N5" s="8" t="s">
        <v>123</v>
      </c>
      <c r="O5" s="8">
        <v>162361</v>
      </c>
      <c r="P5" s="8" t="s">
        <v>123</v>
      </c>
      <c r="Q5" s="8" t="s">
        <v>123</v>
      </c>
      <c r="R5" s="42">
        <v>0</v>
      </c>
      <c r="S5" s="5"/>
    </row>
    <row r="6" spans="1:19" ht="12.5" x14ac:dyDescent="0.25">
      <c r="A6" s="8" t="s">
        <v>143</v>
      </c>
      <c r="B6" s="8" t="s">
        <v>118</v>
      </c>
      <c r="C6" s="8" t="s">
        <v>9</v>
      </c>
      <c r="D6" s="42">
        <v>1</v>
      </c>
      <c r="E6" s="42">
        <f>153529+2069</f>
        <v>155598</v>
      </c>
      <c r="F6" s="42" t="s">
        <v>123</v>
      </c>
      <c r="G6" s="42">
        <f>3556+186+104</f>
        <v>3846</v>
      </c>
      <c r="H6" s="42" t="s">
        <v>123</v>
      </c>
      <c r="I6" s="42">
        <f>57+3+6+3</f>
        <v>69</v>
      </c>
      <c r="J6" s="42" t="s">
        <v>123</v>
      </c>
      <c r="K6" s="8">
        <v>0</v>
      </c>
      <c r="L6" s="8" t="s">
        <v>123</v>
      </c>
      <c r="M6" s="8" t="s">
        <v>123</v>
      </c>
      <c r="N6" s="8" t="s">
        <v>123</v>
      </c>
      <c r="O6" s="8">
        <v>159513</v>
      </c>
      <c r="P6" s="8" t="s">
        <v>123</v>
      </c>
      <c r="Q6" s="8" t="s">
        <v>123</v>
      </c>
      <c r="R6" s="42">
        <v>0</v>
      </c>
      <c r="S6" s="5"/>
    </row>
    <row r="7" spans="1:19" ht="12.5" x14ac:dyDescent="0.25">
      <c r="A7" s="8" t="s">
        <v>143</v>
      </c>
      <c r="B7" s="8" t="s">
        <v>118</v>
      </c>
      <c r="C7" s="8" t="s">
        <v>10</v>
      </c>
      <c r="D7" s="42">
        <v>1</v>
      </c>
      <c r="E7" s="42">
        <f>147071+1881</f>
        <v>148952</v>
      </c>
      <c r="F7" s="42" t="s">
        <v>123</v>
      </c>
      <c r="G7" s="42">
        <f>3522+148+78</f>
        <v>3748</v>
      </c>
      <c r="H7" s="42" t="s">
        <v>123</v>
      </c>
      <c r="I7" s="42">
        <f>36+9+9</f>
        <v>54</v>
      </c>
      <c r="J7" s="42" t="s">
        <v>123</v>
      </c>
      <c r="K7" s="8">
        <v>4</v>
      </c>
      <c r="L7" s="8" t="s">
        <v>123</v>
      </c>
      <c r="M7" s="8" t="s">
        <v>123</v>
      </c>
      <c r="N7" s="8" t="s">
        <v>123</v>
      </c>
      <c r="O7" s="8">
        <v>152758</v>
      </c>
      <c r="P7" s="8" t="s">
        <v>123</v>
      </c>
      <c r="Q7" s="8" t="s">
        <v>123</v>
      </c>
      <c r="R7" s="42">
        <v>0</v>
      </c>
      <c r="S7" s="5"/>
    </row>
    <row r="8" spans="1:19" ht="12.5" x14ac:dyDescent="0.25">
      <c r="A8" s="8" t="s">
        <v>143</v>
      </c>
      <c r="B8" s="8" t="s">
        <v>118</v>
      </c>
      <c r="C8" s="8" t="s">
        <v>11</v>
      </c>
      <c r="D8" s="42">
        <v>1</v>
      </c>
      <c r="E8" s="42">
        <f>148655+2051</f>
        <v>150706</v>
      </c>
      <c r="F8" s="42" t="s">
        <v>123</v>
      </c>
      <c r="G8" s="42">
        <f>3372+144+82</f>
        <v>3598</v>
      </c>
      <c r="H8" s="42" t="s">
        <v>123</v>
      </c>
      <c r="I8" s="42">
        <f>57+3</f>
        <v>60</v>
      </c>
      <c r="J8" s="42" t="s">
        <v>123</v>
      </c>
      <c r="K8" s="8">
        <v>0</v>
      </c>
      <c r="L8" s="8" t="s">
        <v>123</v>
      </c>
      <c r="M8" s="8" t="s">
        <v>123</v>
      </c>
      <c r="N8" s="8" t="s">
        <v>123</v>
      </c>
      <c r="O8" s="8">
        <v>154364</v>
      </c>
      <c r="P8" s="8" t="s">
        <v>123</v>
      </c>
      <c r="Q8" s="8" t="s">
        <v>123</v>
      </c>
      <c r="R8" s="42">
        <v>0</v>
      </c>
      <c r="S8" s="5"/>
    </row>
    <row r="9" spans="1:19" ht="12.5" x14ac:dyDescent="0.25">
      <c r="A9" s="8" t="s">
        <v>143</v>
      </c>
      <c r="B9" s="8" t="s">
        <v>118</v>
      </c>
      <c r="C9" s="8" t="s">
        <v>12</v>
      </c>
      <c r="D9" s="42">
        <v>1</v>
      </c>
      <c r="E9" s="42">
        <f>144762+2052</f>
        <v>146814</v>
      </c>
      <c r="F9" s="42" t="s">
        <v>123</v>
      </c>
      <c r="G9" s="42">
        <f>3376+150+78</f>
        <v>3604</v>
      </c>
      <c r="H9" s="42" t="s">
        <v>123</v>
      </c>
      <c r="I9" s="42">
        <f>33+3+3+3</f>
        <v>42</v>
      </c>
      <c r="J9" s="42" t="s">
        <v>123</v>
      </c>
      <c r="K9" s="8">
        <v>0</v>
      </c>
      <c r="L9" s="8" t="s">
        <v>123</v>
      </c>
      <c r="M9" s="8" t="s">
        <v>123</v>
      </c>
      <c r="N9" s="8" t="s">
        <v>123</v>
      </c>
      <c r="O9" s="8">
        <v>150460</v>
      </c>
      <c r="P9" s="8" t="s">
        <v>123</v>
      </c>
      <c r="Q9" s="8" t="s">
        <v>123</v>
      </c>
      <c r="R9" s="42">
        <v>0</v>
      </c>
      <c r="S9" s="5"/>
    </row>
    <row r="10" spans="1:19" ht="12.5" x14ac:dyDescent="0.25">
      <c r="A10" s="8" t="s">
        <v>143</v>
      </c>
      <c r="B10" s="8" t="s">
        <v>118</v>
      </c>
      <c r="C10" s="8" t="s">
        <v>13</v>
      </c>
      <c r="D10" s="42">
        <v>1</v>
      </c>
      <c r="E10" s="42">
        <f>149646+2263</f>
        <v>151909</v>
      </c>
      <c r="F10" s="42" t="s">
        <v>123</v>
      </c>
      <c r="G10" s="42">
        <f>3340+168+88</f>
        <v>3596</v>
      </c>
      <c r="H10" s="42" t="s">
        <v>123</v>
      </c>
      <c r="I10" s="42">
        <f>39+6</f>
        <v>45</v>
      </c>
      <c r="J10" s="42" t="s">
        <v>123</v>
      </c>
      <c r="K10" s="8">
        <v>0</v>
      </c>
      <c r="L10" s="8" t="s">
        <v>123</v>
      </c>
      <c r="M10" s="8" t="s">
        <v>123</v>
      </c>
      <c r="N10" s="8" t="s">
        <v>123</v>
      </c>
      <c r="O10" s="8">
        <v>155550</v>
      </c>
      <c r="P10" s="8" t="s">
        <v>123</v>
      </c>
      <c r="Q10" s="8" t="s">
        <v>123</v>
      </c>
      <c r="R10" s="42">
        <v>0</v>
      </c>
      <c r="S10" s="5"/>
    </row>
    <row r="11" spans="1:19" ht="12.5" x14ac:dyDescent="0.25">
      <c r="A11" s="8" t="s">
        <v>143</v>
      </c>
      <c r="B11" s="8" t="s">
        <v>118</v>
      </c>
      <c r="C11" s="8" t="s">
        <v>14</v>
      </c>
      <c r="D11" s="42">
        <v>1</v>
      </c>
      <c r="E11" s="42">
        <f>148065+2191</f>
        <v>150256</v>
      </c>
      <c r="F11" s="42" t="s">
        <v>123</v>
      </c>
      <c r="G11" s="42">
        <f>3254+172+96</f>
        <v>3522</v>
      </c>
      <c r="H11" s="42" t="s">
        <v>123</v>
      </c>
      <c r="I11" s="42">
        <f>42+3+9</f>
        <v>54</v>
      </c>
      <c r="J11" s="42" t="s">
        <v>123</v>
      </c>
      <c r="K11" s="8">
        <v>0</v>
      </c>
      <c r="L11" s="8" t="s">
        <v>123</v>
      </c>
      <c r="M11" s="8" t="s">
        <v>123</v>
      </c>
      <c r="N11" s="8" t="s">
        <v>123</v>
      </c>
      <c r="O11" s="8">
        <v>153832</v>
      </c>
      <c r="P11" s="8" t="s">
        <v>123</v>
      </c>
      <c r="Q11" s="8" t="s">
        <v>123</v>
      </c>
      <c r="R11" s="42">
        <v>0</v>
      </c>
      <c r="S11" s="5"/>
    </row>
    <row r="12" spans="1:19" ht="12.5" x14ac:dyDescent="0.25">
      <c r="A12" s="8" t="s">
        <v>143</v>
      </c>
      <c r="B12" s="8" t="s">
        <v>118</v>
      </c>
      <c r="C12" s="8" t="s">
        <v>15</v>
      </c>
      <c r="D12" s="42">
        <v>1</v>
      </c>
      <c r="E12" s="42">
        <f>151208+2289</f>
        <v>153497</v>
      </c>
      <c r="F12" s="42" t="s">
        <v>123</v>
      </c>
      <c r="G12" s="42">
        <f>3288+180+100</f>
        <v>3568</v>
      </c>
      <c r="H12" s="42" t="s">
        <v>123</v>
      </c>
      <c r="I12" s="42">
        <v>27</v>
      </c>
      <c r="J12" s="42" t="s">
        <v>123</v>
      </c>
      <c r="K12" s="8">
        <v>0</v>
      </c>
      <c r="L12" s="8" t="s">
        <v>123</v>
      </c>
      <c r="M12" s="8" t="s">
        <v>123</v>
      </c>
      <c r="N12" s="8" t="s">
        <v>123</v>
      </c>
      <c r="O12" s="8">
        <v>157092</v>
      </c>
      <c r="P12" s="8" t="s">
        <v>123</v>
      </c>
      <c r="Q12" s="8" t="s">
        <v>123</v>
      </c>
      <c r="R12" s="42">
        <v>0</v>
      </c>
      <c r="S12" s="5"/>
    </row>
    <row r="13" spans="1:19" ht="12.5" x14ac:dyDescent="0.25">
      <c r="A13" s="8" t="s">
        <v>143</v>
      </c>
      <c r="B13" s="8" t="s">
        <v>118</v>
      </c>
      <c r="C13" s="8" t="s">
        <v>16</v>
      </c>
      <c r="D13" s="42">
        <v>1</v>
      </c>
      <c r="E13" s="42">
        <f>159236+2243</f>
        <v>161479</v>
      </c>
      <c r="F13" s="42" t="s">
        <v>123</v>
      </c>
      <c r="G13" s="42">
        <f>3448+182+92</f>
        <v>3722</v>
      </c>
      <c r="H13" s="42" t="s">
        <v>123</v>
      </c>
      <c r="I13" s="42">
        <f>60+3+6+3</f>
        <v>72</v>
      </c>
      <c r="J13" s="42" t="s">
        <v>123</v>
      </c>
      <c r="K13" s="8">
        <v>0</v>
      </c>
      <c r="L13" s="8" t="s">
        <v>123</v>
      </c>
      <c r="M13" s="8" t="s">
        <v>123</v>
      </c>
      <c r="N13" s="8" t="s">
        <v>123</v>
      </c>
      <c r="O13" s="8">
        <v>165273</v>
      </c>
      <c r="P13" s="8" t="s">
        <v>123</v>
      </c>
      <c r="Q13" s="8" t="s">
        <v>123</v>
      </c>
      <c r="R13" s="42">
        <v>0</v>
      </c>
      <c r="S13" s="5"/>
    </row>
    <row r="14" spans="1:19" ht="12.5" x14ac:dyDescent="0.25">
      <c r="A14" s="8" t="s">
        <v>143</v>
      </c>
      <c r="B14" s="8" t="s">
        <v>118</v>
      </c>
      <c r="C14" s="8" t="s">
        <v>17</v>
      </c>
      <c r="D14" s="42">
        <v>1</v>
      </c>
      <c r="E14" s="42">
        <f>156758+2088</f>
        <v>158846</v>
      </c>
      <c r="F14" s="42" t="s">
        <v>123</v>
      </c>
      <c r="G14" s="42">
        <f>3474+128+86</f>
        <v>3688</v>
      </c>
      <c r="H14" s="42" t="s">
        <v>123</v>
      </c>
      <c r="I14" s="42">
        <f>42+3</f>
        <v>45</v>
      </c>
      <c r="J14" s="42" t="s">
        <v>123</v>
      </c>
      <c r="K14" s="8">
        <v>0</v>
      </c>
      <c r="L14" s="8" t="s">
        <v>123</v>
      </c>
      <c r="M14" s="8" t="s">
        <v>123</v>
      </c>
      <c r="N14" s="8" t="s">
        <v>123</v>
      </c>
      <c r="O14" s="8">
        <v>162579</v>
      </c>
      <c r="P14" s="8" t="s">
        <v>123</v>
      </c>
      <c r="Q14" s="8" t="s">
        <v>123</v>
      </c>
      <c r="R14" s="42">
        <v>0</v>
      </c>
      <c r="S14" s="5"/>
    </row>
    <row r="15" spans="1:19" ht="12.5" x14ac:dyDescent="0.25">
      <c r="A15" s="8" t="s">
        <v>143</v>
      </c>
      <c r="B15" s="8" t="s">
        <v>118</v>
      </c>
      <c r="C15" s="8" t="s">
        <v>18</v>
      </c>
      <c r="D15" s="42">
        <v>1</v>
      </c>
      <c r="E15" s="42">
        <f>150845+2075</f>
        <v>152920</v>
      </c>
      <c r="F15" s="42" t="s">
        <v>123</v>
      </c>
      <c r="G15" s="42">
        <f>3122+130+94</f>
        <v>3346</v>
      </c>
      <c r="H15" s="42" t="s">
        <v>123</v>
      </c>
      <c r="I15" s="42">
        <f>39+3+3</f>
        <v>45</v>
      </c>
      <c r="J15" s="42" t="s">
        <v>123</v>
      </c>
      <c r="K15" s="8">
        <v>4</v>
      </c>
      <c r="L15" s="8" t="s">
        <v>123</v>
      </c>
      <c r="M15" s="8" t="s">
        <v>123</v>
      </c>
      <c r="N15" s="8" t="s">
        <v>123</v>
      </c>
      <c r="O15" s="8">
        <v>156315</v>
      </c>
      <c r="P15" s="8" t="s">
        <v>123</v>
      </c>
      <c r="Q15" s="8" t="s">
        <v>123</v>
      </c>
      <c r="R15" s="42">
        <v>0</v>
      </c>
      <c r="S15" s="5"/>
    </row>
    <row r="16" spans="1:19" ht="12.5" x14ac:dyDescent="0.25">
      <c r="A16" s="8" t="s">
        <v>143</v>
      </c>
      <c r="B16" s="8" t="s">
        <v>118</v>
      </c>
      <c r="C16" s="8" t="s">
        <v>19</v>
      </c>
      <c r="D16" s="42">
        <v>1</v>
      </c>
      <c r="E16" s="42">
        <f>141945+1781</f>
        <v>143726</v>
      </c>
      <c r="F16" s="42" t="s">
        <v>123</v>
      </c>
      <c r="G16" s="42">
        <f>2884+108+78</f>
        <v>3070</v>
      </c>
      <c r="H16" s="42" t="s">
        <v>123</v>
      </c>
      <c r="I16" s="42">
        <f>39+9+6</f>
        <v>54</v>
      </c>
      <c r="J16" s="42" t="s">
        <v>123</v>
      </c>
      <c r="K16" s="8">
        <v>0</v>
      </c>
      <c r="L16" s="8" t="s">
        <v>123</v>
      </c>
      <c r="M16" s="8" t="s">
        <v>123</v>
      </c>
      <c r="N16" s="8" t="s">
        <v>123</v>
      </c>
      <c r="O16" s="8">
        <v>146850</v>
      </c>
      <c r="P16" s="8" t="s">
        <v>123</v>
      </c>
      <c r="Q16" s="8" t="s">
        <v>123</v>
      </c>
      <c r="R16" s="42">
        <v>0</v>
      </c>
      <c r="S16" s="5"/>
    </row>
    <row r="17" spans="1:19" ht="12.5" x14ac:dyDescent="0.25">
      <c r="A17" s="8" t="s">
        <v>143</v>
      </c>
      <c r="B17" s="8" t="s">
        <v>118</v>
      </c>
      <c r="C17" s="8" t="s">
        <v>20</v>
      </c>
      <c r="D17" s="42">
        <v>1</v>
      </c>
      <c r="E17" s="42">
        <f>138222+1810</f>
        <v>140032</v>
      </c>
      <c r="F17" s="42" t="s">
        <v>123</v>
      </c>
      <c r="G17" s="42">
        <f>2782+114+46</f>
        <v>2942</v>
      </c>
      <c r="H17" s="42" t="s">
        <v>123</v>
      </c>
      <c r="I17" s="42">
        <f>57+12+3</f>
        <v>72</v>
      </c>
      <c r="J17" s="42" t="s">
        <v>123</v>
      </c>
      <c r="K17" s="8">
        <v>0</v>
      </c>
      <c r="L17" s="8" t="s">
        <v>123</v>
      </c>
      <c r="M17" s="8" t="s">
        <v>123</v>
      </c>
      <c r="N17" s="8" t="s">
        <v>123</v>
      </c>
      <c r="O17" s="8">
        <v>143046</v>
      </c>
      <c r="P17" s="8" t="s">
        <v>123</v>
      </c>
      <c r="Q17" s="8" t="s">
        <v>123</v>
      </c>
      <c r="R17" s="42">
        <v>0</v>
      </c>
      <c r="S17" s="5"/>
    </row>
    <row r="18" spans="1:19" ht="12.5" x14ac:dyDescent="0.25">
      <c r="A18" s="8" t="s">
        <v>143</v>
      </c>
      <c r="B18" s="8" t="s">
        <v>118</v>
      </c>
      <c r="C18" s="8" t="s">
        <v>21</v>
      </c>
      <c r="D18" s="42">
        <v>1</v>
      </c>
      <c r="E18" s="42">
        <f>138066+1652</f>
        <v>139718</v>
      </c>
      <c r="F18" s="42" t="s">
        <v>123</v>
      </c>
      <c r="G18" s="42">
        <f>2734+110+94</f>
        <v>2938</v>
      </c>
      <c r="H18" s="42" t="s">
        <v>123</v>
      </c>
      <c r="I18" s="42">
        <f>24+6+3</f>
        <v>33</v>
      </c>
      <c r="J18" s="42" t="s">
        <v>123</v>
      </c>
      <c r="K18" s="8">
        <v>8</v>
      </c>
      <c r="L18" s="8" t="s">
        <v>123</v>
      </c>
      <c r="M18" s="8" t="s">
        <v>123</v>
      </c>
      <c r="N18" s="8" t="s">
        <v>123</v>
      </c>
      <c r="O18" s="8">
        <v>142697</v>
      </c>
      <c r="P18" s="8" t="s">
        <v>123</v>
      </c>
      <c r="Q18" s="8" t="s">
        <v>123</v>
      </c>
      <c r="R18" s="42">
        <v>0</v>
      </c>
      <c r="S18" s="5"/>
    </row>
    <row r="19" spans="1:19" ht="12.5" x14ac:dyDescent="0.25">
      <c r="A19" s="8" t="s">
        <v>143</v>
      </c>
      <c r="B19" s="8" t="s">
        <v>118</v>
      </c>
      <c r="C19" s="8" t="s">
        <v>22</v>
      </c>
      <c r="D19" s="42">
        <v>1</v>
      </c>
      <c r="E19" s="42">
        <f>134830+1585</f>
        <v>136415</v>
      </c>
      <c r="F19" s="42" t="s">
        <v>123</v>
      </c>
      <c r="G19" s="42">
        <f>2620+98+60</f>
        <v>2778</v>
      </c>
      <c r="H19" s="42" t="s">
        <v>123</v>
      </c>
      <c r="I19" s="42">
        <f>27+3</f>
        <v>30</v>
      </c>
      <c r="J19" s="42" t="s">
        <v>123</v>
      </c>
      <c r="K19" s="8">
        <v>0</v>
      </c>
      <c r="L19" s="8" t="s">
        <v>123</v>
      </c>
      <c r="M19" s="8" t="s">
        <v>123</v>
      </c>
      <c r="N19" s="8" t="s">
        <v>123</v>
      </c>
      <c r="O19" s="8">
        <v>139223</v>
      </c>
      <c r="P19" s="8" t="s">
        <v>123</v>
      </c>
      <c r="Q19" s="8" t="s">
        <v>123</v>
      </c>
      <c r="R19" s="42">
        <v>0</v>
      </c>
      <c r="S19" s="5"/>
    </row>
    <row r="20" spans="1:19" ht="12.5" x14ac:dyDescent="0.25">
      <c r="A20" s="8" t="s">
        <v>143</v>
      </c>
      <c r="B20" s="8" t="s">
        <v>118</v>
      </c>
      <c r="C20" s="8" t="s">
        <v>23</v>
      </c>
      <c r="D20" s="42">
        <v>1</v>
      </c>
      <c r="E20" s="42">
        <f>141172+1612</f>
        <v>142784</v>
      </c>
      <c r="F20" s="42" t="s">
        <v>123</v>
      </c>
      <c r="G20" s="42">
        <f>2778+84+92</f>
        <v>2954</v>
      </c>
      <c r="H20" s="42" t="s">
        <v>123</v>
      </c>
      <c r="I20" s="42">
        <f>63+3+9</f>
        <v>75</v>
      </c>
      <c r="J20" s="42" t="s">
        <v>123</v>
      </c>
      <c r="K20" s="8">
        <f>12</f>
        <v>12</v>
      </c>
      <c r="L20" s="8" t="s">
        <v>123</v>
      </c>
      <c r="M20" s="8" t="s">
        <v>123</v>
      </c>
      <c r="N20" s="8" t="s">
        <v>123</v>
      </c>
      <c r="O20" s="8">
        <v>145825</v>
      </c>
      <c r="P20" s="8" t="s">
        <v>123</v>
      </c>
      <c r="Q20" s="8" t="s">
        <v>123</v>
      </c>
      <c r="R20" s="42">
        <v>0</v>
      </c>
      <c r="S20" s="5"/>
    </row>
    <row r="21" spans="1:19" ht="12.5" x14ac:dyDescent="0.25">
      <c r="A21" s="8" t="s">
        <v>143</v>
      </c>
      <c r="B21" s="8" t="s">
        <v>118</v>
      </c>
      <c r="C21" s="8" t="s">
        <v>24</v>
      </c>
      <c r="D21" s="42">
        <v>1</v>
      </c>
      <c r="E21" s="42">
        <f>139586+1586</f>
        <v>141172</v>
      </c>
      <c r="F21" s="42" t="s">
        <v>123</v>
      </c>
      <c r="G21" s="42">
        <f>2572+98+66</f>
        <v>2736</v>
      </c>
      <c r="H21" s="42" t="s">
        <v>123</v>
      </c>
      <c r="I21" s="42">
        <f>54</f>
        <v>54</v>
      </c>
      <c r="J21" s="42" t="s">
        <v>123</v>
      </c>
      <c r="K21" s="8">
        <v>12</v>
      </c>
      <c r="L21" s="8" t="s">
        <v>123</v>
      </c>
      <c r="M21" s="8" t="s">
        <v>123</v>
      </c>
      <c r="N21" s="8" t="s">
        <v>123</v>
      </c>
      <c r="O21" s="8">
        <v>143974</v>
      </c>
      <c r="P21" s="8" t="s">
        <v>123</v>
      </c>
      <c r="Q21" s="8" t="s">
        <v>123</v>
      </c>
      <c r="R21" s="42">
        <v>0</v>
      </c>
      <c r="S21" s="5"/>
    </row>
    <row r="22" spans="1:19" ht="12.5" x14ac:dyDescent="0.25">
      <c r="A22" s="8" t="s">
        <v>143</v>
      </c>
      <c r="B22" s="8" t="s">
        <v>118</v>
      </c>
      <c r="C22" s="8" t="s">
        <v>25</v>
      </c>
      <c r="D22" s="42">
        <v>1</v>
      </c>
      <c r="E22" s="42">
        <f>143999+1682</f>
        <v>145681</v>
      </c>
      <c r="F22" s="42" t="s">
        <v>123</v>
      </c>
      <c r="G22" s="42">
        <f>2482+90+72</f>
        <v>2644</v>
      </c>
      <c r="H22" s="42" t="s">
        <v>123</v>
      </c>
      <c r="I22" s="42">
        <f>36+6+6</f>
        <v>48</v>
      </c>
      <c r="J22" s="42" t="s">
        <v>123</v>
      </c>
      <c r="K22" s="8">
        <v>0</v>
      </c>
      <c r="L22" s="8" t="s">
        <v>123</v>
      </c>
      <c r="M22" s="8" t="s">
        <v>123</v>
      </c>
      <c r="N22" s="8" t="s">
        <v>123</v>
      </c>
      <c r="O22" s="8">
        <v>148373</v>
      </c>
      <c r="P22" s="8" t="s">
        <v>123</v>
      </c>
      <c r="Q22" s="8" t="s">
        <v>123</v>
      </c>
      <c r="R22" s="42">
        <v>0</v>
      </c>
      <c r="S22" s="5"/>
    </row>
    <row r="23" spans="1:19" ht="12.5" x14ac:dyDescent="0.25">
      <c r="A23" s="8" t="s">
        <v>143</v>
      </c>
      <c r="B23" s="8" t="s">
        <v>118</v>
      </c>
      <c r="C23" s="8" t="s">
        <v>26</v>
      </c>
      <c r="D23" s="42">
        <v>1</v>
      </c>
      <c r="E23" s="42">
        <f>141173+1459</f>
        <v>142632</v>
      </c>
      <c r="F23" s="42" t="s">
        <v>123</v>
      </c>
      <c r="G23" s="42">
        <f>2458+78+58</f>
        <v>2594</v>
      </c>
      <c r="H23" s="42" t="s">
        <v>123</v>
      </c>
      <c r="I23" s="42">
        <f>69+6</f>
        <v>75</v>
      </c>
      <c r="J23" s="42" t="s">
        <v>123</v>
      </c>
      <c r="K23" s="8">
        <v>4</v>
      </c>
      <c r="L23" s="8" t="s">
        <v>123</v>
      </c>
      <c r="M23" s="8" t="s">
        <v>123</v>
      </c>
      <c r="N23" s="8" t="s">
        <v>123</v>
      </c>
      <c r="O23" s="8">
        <v>145305</v>
      </c>
      <c r="P23" s="8" t="s">
        <v>123</v>
      </c>
      <c r="Q23" s="8" t="s">
        <v>123</v>
      </c>
      <c r="R23" s="42">
        <v>0</v>
      </c>
      <c r="S23" s="5"/>
    </row>
    <row r="24" spans="1:19" ht="12.5" x14ac:dyDescent="0.25">
      <c r="A24" s="8" t="s">
        <v>143</v>
      </c>
      <c r="B24" s="8" t="s">
        <v>118</v>
      </c>
      <c r="C24" s="8" t="s">
        <v>27</v>
      </c>
      <c r="D24" s="42">
        <v>1</v>
      </c>
      <c r="E24" s="42">
        <f>144120+1392</f>
        <v>145512</v>
      </c>
      <c r="F24" s="42" t="s">
        <v>123</v>
      </c>
      <c r="G24" s="42">
        <f>2374+104+50</f>
        <v>2528</v>
      </c>
      <c r="H24" s="42" t="s">
        <v>123</v>
      </c>
      <c r="I24" s="42">
        <f>30+3+3+3</f>
        <v>39</v>
      </c>
      <c r="J24" s="42" t="s">
        <v>123</v>
      </c>
      <c r="K24" s="8">
        <f>8+4</f>
        <v>12</v>
      </c>
      <c r="L24" s="8" t="s">
        <v>123</v>
      </c>
      <c r="M24" s="8" t="s">
        <v>123</v>
      </c>
      <c r="N24" s="8" t="s">
        <v>123</v>
      </c>
      <c r="O24" s="8">
        <v>148091</v>
      </c>
      <c r="P24" s="8" t="s">
        <v>123</v>
      </c>
      <c r="Q24" s="8" t="s">
        <v>123</v>
      </c>
      <c r="R24" s="42">
        <v>0</v>
      </c>
      <c r="S24" s="5"/>
    </row>
    <row r="25" spans="1:19" ht="12.5" x14ac:dyDescent="0.25">
      <c r="A25" s="8" t="s">
        <v>143</v>
      </c>
      <c r="B25" s="8" t="s">
        <v>118</v>
      </c>
      <c r="C25" s="8" t="s">
        <v>28</v>
      </c>
      <c r="D25" s="42">
        <v>1</v>
      </c>
      <c r="E25" s="42">
        <f>145370+1334</f>
        <v>146704</v>
      </c>
      <c r="F25" s="42" t="s">
        <v>123</v>
      </c>
      <c r="G25" s="42">
        <f>2506+92+66</f>
        <v>2664</v>
      </c>
      <c r="H25" s="42" t="s">
        <v>123</v>
      </c>
      <c r="I25" s="42">
        <f>36+9</f>
        <v>45</v>
      </c>
      <c r="J25" s="42">
        <v>1</v>
      </c>
      <c r="K25" s="8">
        <v>6</v>
      </c>
      <c r="L25" s="8" t="s">
        <v>123</v>
      </c>
      <c r="M25" s="8" t="s">
        <v>123</v>
      </c>
      <c r="N25" s="8" t="s">
        <v>123</v>
      </c>
      <c r="O25" s="8">
        <v>149419</v>
      </c>
      <c r="P25" s="8" t="s">
        <v>123</v>
      </c>
      <c r="Q25" s="8" t="s">
        <v>123</v>
      </c>
      <c r="R25" s="42">
        <v>0</v>
      </c>
      <c r="S25" s="5"/>
    </row>
    <row r="26" spans="1:19" ht="12.5" x14ac:dyDescent="0.25">
      <c r="A26" s="8" t="s">
        <v>143</v>
      </c>
      <c r="B26" s="8" t="s">
        <v>118</v>
      </c>
      <c r="C26" s="8" t="s">
        <v>29</v>
      </c>
      <c r="D26" s="42">
        <v>1</v>
      </c>
      <c r="E26" s="42">
        <f>145464+1259</f>
        <v>146723</v>
      </c>
      <c r="F26" s="42" t="s">
        <v>123</v>
      </c>
      <c r="G26" s="42">
        <f>2588+96+58</f>
        <v>2742</v>
      </c>
      <c r="H26" s="42" t="s">
        <v>123</v>
      </c>
      <c r="I26" s="42">
        <f>30+3</f>
        <v>33</v>
      </c>
      <c r="J26" s="42" t="s">
        <v>123</v>
      </c>
      <c r="K26" s="8">
        <v>4</v>
      </c>
      <c r="L26" s="8" t="s">
        <v>123</v>
      </c>
      <c r="M26" s="8" t="s">
        <v>123</v>
      </c>
      <c r="N26" s="8" t="s">
        <v>123</v>
      </c>
      <c r="O26" s="8">
        <v>149502</v>
      </c>
      <c r="P26" s="8" t="s">
        <v>123</v>
      </c>
      <c r="Q26" s="8" t="s">
        <v>123</v>
      </c>
      <c r="R26" s="42">
        <v>0</v>
      </c>
      <c r="S26" s="5"/>
    </row>
    <row r="27" spans="1:19" ht="12.5" x14ac:dyDescent="0.25">
      <c r="A27" s="8" t="s">
        <v>143</v>
      </c>
      <c r="B27" s="8" t="s">
        <v>118</v>
      </c>
      <c r="C27" s="8" t="s">
        <v>30</v>
      </c>
      <c r="D27" s="42">
        <v>1</v>
      </c>
      <c r="E27" s="42">
        <f>138517+1217</f>
        <v>139734</v>
      </c>
      <c r="F27" s="42" t="s">
        <v>123</v>
      </c>
      <c r="G27" s="42">
        <f>2358+80+64</f>
        <v>2502</v>
      </c>
      <c r="H27" s="42" t="s">
        <v>123</v>
      </c>
      <c r="I27" s="42">
        <f>33+3</f>
        <v>36</v>
      </c>
      <c r="J27" s="42" t="s">
        <v>123</v>
      </c>
      <c r="K27" s="8">
        <v>4</v>
      </c>
      <c r="L27" s="8" t="s">
        <v>123</v>
      </c>
      <c r="M27" s="8" t="s">
        <v>123</v>
      </c>
      <c r="N27" s="8" t="s">
        <v>123</v>
      </c>
      <c r="O27" s="8">
        <v>142276</v>
      </c>
      <c r="P27" s="8" t="s">
        <v>123</v>
      </c>
      <c r="Q27" s="8" t="s">
        <v>123</v>
      </c>
      <c r="R27" s="42">
        <v>0</v>
      </c>
      <c r="S27" s="5"/>
    </row>
    <row r="28" spans="1:19" ht="12.5" x14ac:dyDescent="0.25">
      <c r="A28" s="8" t="s">
        <v>143</v>
      </c>
      <c r="B28" s="8" t="s">
        <v>118</v>
      </c>
      <c r="C28" s="8" t="s">
        <v>31</v>
      </c>
      <c r="D28" s="42">
        <v>1</v>
      </c>
      <c r="E28" s="42">
        <f>134795+1106</f>
        <v>135901</v>
      </c>
      <c r="F28" s="42" t="s">
        <v>123</v>
      </c>
      <c r="G28" s="42">
        <f>2396+78+42</f>
        <v>2516</v>
      </c>
      <c r="H28" s="42" t="s">
        <v>123</v>
      </c>
      <c r="I28" s="42">
        <v>45</v>
      </c>
      <c r="J28" s="42" t="s">
        <v>123</v>
      </c>
      <c r="K28" s="8">
        <v>0</v>
      </c>
      <c r="L28" s="8" t="s">
        <v>123</v>
      </c>
      <c r="M28" s="8" t="s">
        <v>123</v>
      </c>
      <c r="N28" s="8" t="s">
        <v>123</v>
      </c>
      <c r="O28" s="8">
        <v>138462</v>
      </c>
      <c r="P28" s="8" t="s">
        <v>123</v>
      </c>
      <c r="Q28" s="8" t="s">
        <v>123</v>
      </c>
      <c r="R28" s="42">
        <v>0</v>
      </c>
      <c r="S28" s="5"/>
    </row>
    <row r="29" spans="1:19" ht="12.5" x14ac:dyDescent="0.25">
      <c r="A29" s="8" t="s">
        <v>143</v>
      </c>
      <c r="B29" s="8" t="s">
        <v>118</v>
      </c>
      <c r="C29" s="8" t="s">
        <v>32</v>
      </c>
      <c r="D29" s="42">
        <v>1</v>
      </c>
      <c r="E29" s="42">
        <f>129931+1063</f>
        <v>130994</v>
      </c>
      <c r="F29" s="42" t="s">
        <v>123</v>
      </c>
      <c r="G29" s="42">
        <f>2584+94+62</f>
        <v>2740</v>
      </c>
      <c r="H29" s="42" t="s">
        <v>123</v>
      </c>
      <c r="I29" s="42">
        <f>42+6</f>
        <v>48</v>
      </c>
      <c r="J29" s="42" t="s">
        <v>123</v>
      </c>
      <c r="K29" s="8">
        <v>0</v>
      </c>
      <c r="L29" s="8" t="s">
        <v>123</v>
      </c>
      <c r="M29" s="8" t="s">
        <v>123</v>
      </c>
      <c r="N29" s="8" t="s">
        <v>123</v>
      </c>
      <c r="O29" s="8">
        <v>133782</v>
      </c>
      <c r="P29" s="8" t="s">
        <v>123</v>
      </c>
      <c r="Q29" s="8" t="s">
        <v>123</v>
      </c>
      <c r="R29" s="42">
        <v>0</v>
      </c>
      <c r="S29" s="5"/>
    </row>
    <row r="30" spans="1:19" ht="12.5" x14ac:dyDescent="0.25">
      <c r="A30" s="8" t="s">
        <v>143</v>
      </c>
      <c r="B30" s="8" t="s">
        <v>118</v>
      </c>
      <c r="C30" s="8" t="s">
        <v>33</v>
      </c>
      <c r="D30" s="42">
        <v>1</v>
      </c>
      <c r="E30" s="42">
        <f>123093+1028</f>
        <v>124121</v>
      </c>
      <c r="F30" s="42" t="s">
        <v>123</v>
      </c>
      <c r="G30" s="42">
        <f>2540+74+60</f>
        <v>2674</v>
      </c>
      <c r="H30" s="42" t="s">
        <v>123</v>
      </c>
      <c r="I30" s="42">
        <f>54</f>
        <v>54</v>
      </c>
      <c r="J30" s="42">
        <v>1</v>
      </c>
      <c r="K30" s="8">
        <v>5</v>
      </c>
      <c r="L30" s="8" t="s">
        <v>123</v>
      </c>
      <c r="M30" s="8" t="s">
        <v>123</v>
      </c>
      <c r="N30" s="8" t="s">
        <v>123</v>
      </c>
      <c r="O30" s="8">
        <v>126854</v>
      </c>
      <c r="P30" s="8" t="s">
        <v>123</v>
      </c>
      <c r="Q30" s="8" t="s">
        <v>123</v>
      </c>
      <c r="R30" s="42">
        <v>0</v>
      </c>
      <c r="S30" s="5"/>
    </row>
    <row r="31" spans="1:19" ht="12.5" x14ac:dyDescent="0.25">
      <c r="A31" s="8" t="s">
        <v>143</v>
      </c>
      <c r="B31" s="8" t="s">
        <v>118</v>
      </c>
      <c r="C31" s="8" t="s">
        <v>34</v>
      </c>
      <c r="D31" s="42">
        <v>1</v>
      </c>
      <c r="E31" s="42">
        <f>114495+887</f>
        <v>115382</v>
      </c>
      <c r="F31" s="42" t="s">
        <v>123</v>
      </c>
      <c r="G31" s="42">
        <f>1912+58+34</f>
        <v>2004</v>
      </c>
      <c r="H31" s="42" t="s">
        <v>123</v>
      </c>
      <c r="I31" s="42">
        <f>33</f>
        <v>33</v>
      </c>
      <c r="J31" s="42" t="s">
        <v>123</v>
      </c>
      <c r="K31" s="8">
        <v>12</v>
      </c>
      <c r="L31" s="8" t="s">
        <v>123</v>
      </c>
      <c r="M31" s="8" t="s">
        <v>123</v>
      </c>
      <c r="N31" s="8" t="s">
        <v>123</v>
      </c>
      <c r="O31" s="8">
        <v>117431</v>
      </c>
      <c r="P31" s="8" t="s">
        <v>123</v>
      </c>
      <c r="Q31" s="8" t="s">
        <v>123</v>
      </c>
      <c r="R31" s="42">
        <v>0</v>
      </c>
      <c r="S31" s="5"/>
    </row>
    <row r="32" spans="1:19" ht="12.5" x14ac:dyDescent="0.25">
      <c r="A32" s="8" t="s">
        <v>143</v>
      </c>
      <c r="B32" s="8" t="s">
        <v>118</v>
      </c>
      <c r="C32" s="8" t="s">
        <v>35</v>
      </c>
      <c r="D32" s="42">
        <v>1</v>
      </c>
      <c r="E32" s="42">
        <f>110639+843</f>
        <v>111482</v>
      </c>
      <c r="F32" s="42" t="s">
        <v>123</v>
      </c>
      <c r="G32" s="42">
        <f>2078+86+38</f>
        <v>2202</v>
      </c>
      <c r="H32" s="42" t="s">
        <v>123</v>
      </c>
      <c r="I32" s="42">
        <f>45+3</f>
        <v>48</v>
      </c>
      <c r="J32" s="42" t="s">
        <v>123</v>
      </c>
      <c r="K32" s="8">
        <v>4</v>
      </c>
      <c r="L32" s="8" t="s">
        <v>123</v>
      </c>
      <c r="M32" s="8" t="s">
        <v>123</v>
      </c>
      <c r="N32" s="8" t="s">
        <v>123</v>
      </c>
      <c r="O32" s="8">
        <v>113736</v>
      </c>
      <c r="P32" s="8" t="s">
        <v>123</v>
      </c>
      <c r="Q32" s="8" t="s">
        <v>123</v>
      </c>
      <c r="R32" s="42">
        <v>0</v>
      </c>
      <c r="S32" s="5"/>
    </row>
    <row r="33" spans="1:19" ht="12.5" x14ac:dyDescent="0.25">
      <c r="A33" s="8" t="s">
        <v>143</v>
      </c>
      <c r="B33" s="8" t="s">
        <v>118</v>
      </c>
      <c r="C33" s="8" t="s">
        <v>36</v>
      </c>
      <c r="D33" s="42">
        <v>1</v>
      </c>
      <c r="E33" s="42">
        <f>104347+797</f>
        <v>105144</v>
      </c>
      <c r="F33" s="42" t="s">
        <v>123</v>
      </c>
      <c r="G33" s="42">
        <f>1970+52+30</f>
        <v>2052</v>
      </c>
      <c r="H33" s="42" t="s">
        <v>123</v>
      </c>
      <c r="I33" s="42">
        <v>33</v>
      </c>
      <c r="J33" s="42" t="s">
        <v>123</v>
      </c>
      <c r="K33" s="8">
        <v>16</v>
      </c>
      <c r="L33" s="8" t="s">
        <v>123</v>
      </c>
      <c r="M33" s="8" t="s">
        <v>123</v>
      </c>
      <c r="N33" s="8" t="s">
        <v>123</v>
      </c>
      <c r="O33" s="8">
        <v>107245</v>
      </c>
      <c r="P33" s="8" t="s">
        <v>123</v>
      </c>
      <c r="Q33" s="8" t="s">
        <v>123</v>
      </c>
      <c r="R33" s="42">
        <v>0</v>
      </c>
      <c r="S33" s="5"/>
    </row>
    <row r="34" spans="1:19" ht="12.5" x14ac:dyDescent="0.25">
      <c r="A34" s="8" t="s">
        <v>143</v>
      </c>
      <c r="B34" s="8" t="s">
        <v>118</v>
      </c>
      <c r="C34" s="8" t="s">
        <v>37</v>
      </c>
      <c r="D34" s="42">
        <v>1</v>
      </c>
      <c r="E34" s="42">
        <f>105309+662</f>
        <v>105971</v>
      </c>
      <c r="F34" s="42" t="s">
        <v>123</v>
      </c>
      <c r="G34" s="42">
        <f>2106+68+38</f>
        <v>2212</v>
      </c>
      <c r="H34" s="42" t="s">
        <v>123</v>
      </c>
      <c r="I34" s="42">
        <f>48+6</f>
        <v>54</v>
      </c>
      <c r="J34" s="42" t="s">
        <v>123</v>
      </c>
      <c r="K34" s="8">
        <v>4</v>
      </c>
      <c r="L34" s="8" t="s">
        <v>123</v>
      </c>
      <c r="M34" s="8" t="s">
        <v>123</v>
      </c>
      <c r="N34" s="8" t="s">
        <v>123</v>
      </c>
      <c r="O34" s="8">
        <v>108241</v>
      </c>
      <c r="P34" s="8" t="s">
        <v>123</v>
      </c>
      <c r="Q34" s="8" t="s">
        <v>123</v>
      </c>
      <c r="R34" s="42">
        <v>0</v>
      </c>
      <c r="S34" s="5"/>
    </row>
    <row r="35" spans="1:19" ht="12.5" x14ac:dyDescent="0.25">
      <c r="A35" s="8" t="s">
        <v>143</v>
      </c>
      <c r="B35" s="8" t="s">
        <v>118</v>
      </c>
      <c r="C35" s="8" t="s">
        <v>38</v>
      </c>
      <c r="D35" s="42">
        <v>1</v>
      </c>
      <c r="E35" s="42">
        <f>99557+652</f>
        <v>100209</v>
      </c>
      <c r="F35" s="42" t="s">
        <v>123</v>
      </c>
      <c r="G35" s="42">
        <f>2002+52+52</f>
        <v>2106</v>
      </c>
      <c r="H35" s="42" t="s">
        <v>123</v>
      </c>
      <c r="I35" s="42">
        <f>60+6+3</f>
        <v>69</v>
      </c>
      <c r="J35" s="42" t="s">
        <v>123</v>
      </c>
      <c r="K35" s="8">
        <v>8</v>
      </c>
      <c r="L35" s="8" t="s">
        <v>123</v>
      </c>
      <c r="M35" s="8" t="s">
        <v>123</v>
      </c>
      <c r="N35" s="8" t="s">
        <v>123</v>
      </c>
      <c r="O35" s="8">
        <v>102392</v>
      </c>
      <c r="P35" s="8" t="s">
        <v>123</v>
      </c>
      <c r="Q35" s="8" t="s">
        <v>123</v>
      </c>
      <c r="R35" s="42">
        <v>0</v>
      </c>
      <c r="S35" s="5"/>
    </row>
    <row r="36" spans="1:19" ht="12.5" x14ac:dyDescent="0.25">
      <c r="A36" s="8" t="s">
        <v>143</v>
      </c>
      <c r="B36" s="8" t="s">
        <v>118</v>
      </c>
      <c r="C36" s="8" t="s">
        <v>39</v>
      </c>
      <c r="D36" s="42">
        <v>1</v>
      </c>
      <c r="E36" s="42">
        <f>99999+659</f>
        <v>100658</v>
      </c>
      <c r="F36" s="42" t="s">
        <v>123</v>
      </c>
      <c r="G36" s="42">
        <f>2152+50+46</f>
        <v>2248</v>
      </c>
      <c r="H36" s="42" t="s">
        <v>123</v>
      </c>
      <c r="I36" s="42">
        <f>51+3</f>
        <v>54</v>
      </c>
      <c r="J36" s="42" t="s">
        <v>123</v>
      </c>
      <c r="K36" s="8">
        <v>4</v>
      </c>
      <c r="L36" s="8" t="s">
        <v>123</v>
      </c>
      <c r="M36" s="8" t="s">
        <v>123</v>
      </c>
      <c r="N36" s="8" t="s">
        <v>123</v>
      </c>
      <c r="O36" s="8">
        <v>102964</v>
      </c>
      <c r="P36" s="8" t="s">
        <v>123</v>
      </c>
      <c r="Q36" s="8" t="s">
        <v>123</v>
      </c>
      <c r="R36" s="42">
        <v>0</v>
      </c>
      <c r="S36" s="5"/>
    </row>
    <row r="37" spans="1:19" ht="12.5" x14ac:dyDescent="0.25">
      <c r="A37" s="8" t="s">
        <v>143</v>
      </c>
      <c r="B37" s="8" t="s">
        <v>118</v>
      </c>
      <c r="C37" s="8" t="s">
        <v>40</v>
      </c>
      <c r="D37" s="42">
        <v>1</v>
      </c>
      <c r="E37" s="42">
        <f>100291+645</f>
        <v>100936</v>
      </c>
      <c r="F37" s="42" t="s">
        <v>123</v>
      </c>
      <c r="G37" s="42">
        <f>2176+70+24</f>
        <v>2270</v>
      </c>
      <c r="H37" s="42" t="s">
        <v>123</v>
      </c>
      <c r="I37" s="42">
        <f>102+6</f>
        <v>108</v>
      </c>
      <c r="J37" s="42" t="s">
        <v>123</v>
      </c>
      <c r="K37" s="8">
        <f>12</f>
        <v>12</v>
      </c>
      <c r="L37" s="8" t="s">
        <v>123</v>
      </c>
      <c r="M37" s="8" t="s">
        <v>123</v>
      </c>
      <c r="N37" s="8" t="s">
        <v>123</v>
      </c>
      <c r="O37" s="8">
        <v>103326</v>
      </c>
      <c r="P37" s="8" t="s">
        <v>123</v>
      </c>
      <c r="Q37" s="8" t="s">
        <v>123</v>
      </c>
      <c r="R37" s="42">
        <v>0</v>
      </c>
      <c r="S37" s="5"/>
    </row>
    <row r="38" spans="1:19" ht="12.5" x14ac:dyDescent="0.25">
      <c r="A38" s="8" t="s">
        <v>143</v>
      </c>
      <c r="B38" s="8" t="s">
        <v>118</v>
      </c>
      <c r="C38" s="8" t="s">
        <v>41</v>
      </c>
      <c r="D38" s="42">
        <v>1</v>
      </c>
      <c r="E38" s="42">
        <f>101446+570</f>
        <v>102016</v>
      </c>
      <c r="F38" s="42" t="s">
        <v>123</v>
      </c>
      <c r="G38" s="42">
        <f>2520+62+24</f>
        <v>2606</v>
      </c>
      <c r="H38" s="42" t="s">
        <v>123</v>
      </c>
      <c r="I38" s="42">
        <f>75+6+3</f>
        <v>84</v>
      </c>
      <c r="J38" s="42" t="s">
        <v>123</v>
      </c>
      <c r="K38" s="8">
        <v>4</v>
      </c>
      <c r="L38" s="8" t="s">
        <v>123</v>
      </c>
      <c r="M38" s="8" t="s">
        <v>123</v>
      </c>
      <c r="N38" s="8" t="s">
        <v>123</v>
      </c>
      <c r="O38" s="8">
        <v>104710</v>
      </c>
      <c r="P38" s="8" t="s">
        <v>123</v>
      </c>
      <c r="Q38" s="8" t="s">
        <v>123</v>
      </c>
      <c r="R38" s="42">
        <v>0</v>
      </c>
      <c r="S38" s="5"/>
    </row>
    <row r="39" spans="1:19" ht="12.5" x14ac:dyDescent="0.25">
      <c r="A39" s="8" t="s">
        <v>143</v>
      </c>
      <c r="B39" s="8" t="s">
        <v>118</v>
      </c>
      <c r="C39" s="8" t="s">
        <v>42</v>
      </c>
      <c r="D39" s="42">
        <v>1</v>
      </c>
      <c r="E39" s="42">
        <f>98897+582</f>
        <v>99479</v>
      </c>
      <c r="F39" s="42" t="s">
        <v>123</v>
      </c>
      <c r="G39" s="42">
        <f>2694+92+42</f>
        <v>2828</v>
      </c>
      <c r="H39" s="42" t="s">
        <v>123</v>
      </c>
      <c r="I39" s="42">
        <f>147+21+3</f>
        <v>171</v>
      </c>
      <c r="J39" s="42" t="s">
        <v>123</v>
      </c>
      <c r="K39" s="8">
        <v>0</v>
      </c>
      <c r="L39" s="8" t="s">
        <v>123</v>
      </c>
      <c r="M39" s="8" t="s">
        <v>123</v>
      </c>
      <c r="N39" s="8" t="s">
        <v>123</v>
      </c>
      <c r="O39" s="8">
        <v>102478</v>
      </c>
      <c r="P39" s="8" t="s">
        <v>123</v>
      </c>
      <c r="Q39" s="8" t="s">
        <v>123</v>
      </c>
      <c r="R39" s="42">
        <v>0</v>
      </c>
      <c r="S39" s="5"/>
    </row>
    <row r="40" spans="1:19" ht="12.5" x14ac:dyDescent="0.25">
      <c r="A40" s="8" t="s">
        <v>143</v>
      </c>
      <c r="B40" s="8" t="s">
        <v>118</v>
      </c>
      <c r="C40" s="8" t="s">
        <v>43</v>
      </c>
      <c r="D40" s="42">
        <v>1</v>
      </c>
      <c r="E40" s="42">
        <f>101069+518</f>
        <v>101587</v>
      </c>
      <c r="F40" s="42" t="s">
        <v>123</v>
      </c>
      <c r="G40" s="42">
        <f>2546+80+38</f>
        <v>2664</v>
      </c>
      <c r="H40" s="42" t="s">
        <v>123</v>
      </c>
      <c r="I40" s="42">
        <f>102+9</f>
        <v>111</v>
      </c>
      <c r="J40" s="42" t="s">
        <v>123</v>
      </c>
      <c r="K40" s="8">
        <v>0</v>
      </c>
      <c r="L40" s="8" t="s">
        <v>123</v>
      </c>
      <c r="M40" s="8" t="s">
        <v>123</v>
      </c>
      <c r="N40" s="8" t="s">
        <v>123</v>
      </c>
      <c r="O40" s="8">
        <v>104362</v>
      </c>
      <c r="P40" s="8" t="s">
        <v>123</v>
      </c>
      <c r="Q40" s="8" t="s">
        <v>123</v>
      </c>
      <c r="R40" s="42">
        <v>0</v>
      </c>
      <c r="S40" s="5"/>
    </row>
    <row r="41" spans="1:19" ht="12.5" x14ac:dyDescent="0.25">
      <c r="A41" s="8" t="s">
        <v>143</v>
      </c>
      <c r="B41" s="8" t="s">
        <v>118</v>
      </c>
      <c r="C41" s="8" t="s">
        <v>44</v>
      </c>
      <c r="D41" s="42">
        <v>1</v>
      </c>
      <c r="E41" s="42">
        <f>98474+568</f>
        <v>99042</v>
      </c>
      <c r="F41" s="42" t="s">
        <v>123</v>
      </c>
      <c r="G41" s="42">
        <f>2824+86+28</f>
        <v>2938</v>
      </c>
      <c r="H41" s="42" t="s">
        <v>123</v>
      </c>
      <c r="I41" s="42">
        <f>138+6</f>
        <v>144</v>
      </c>
      <c r="J41" s="42" t="s">
        <v>123</v>
      </c>
      <c r="K41" s="8">
        <f>4+12</f>
        <v>16</v>
      </c>
      <c r="L41" s="8" t="s">
        <v>123</v>
      </c>
      <c r="M41" s="8" t="s">
        <v>123</v>
      </c>
      <c r="N41" s="8" t="s">
        <v>123</v>
      </c>
      <c r="O41" s="8">
        <v>102140</v>
      </c>
      <c r="P41" s="8" t="s">
        <v>123</v>
      </c>
      <c r="Q41" s="8" t="s">
        <v>123</v>
      </c>
      <c r="R41" s="42">
        <v>0</v>
      </c>
      <c r="S41" s="5"/>
    </row>
    <row r="42" spans="1:19" ht="12.5" x14ac:dyDescent="0.25">
      <c r="A42" s="8" t="s">
        <v>143</v>
      </c>
      <c r="B42" s="8" t="s">
        <v>118</v>
      </c>
      <c r="C42" s="8" t="s">
        <v>45</v>
      </c>
      <c r="D42" s="42">
        <v>1</v>
      </c>
      <c r="E42" s="42">
        <f>97540+504</f>
        <v>98044</v>
      </c>
      <c r="F42" s="42" t="s">
        <v>123</v>
      </c>
      <c r="G42" s="42">
        <f>2988+108+32</f>
        <v>3128</v>
      </c>
      <c r="H42" s="42" t="s">
        <v>123</v>
      </c>
      <c r="I42" s="42">
        <f>114+6+6+3</f>
        <v>129</v>
      </c>
      <c r="J42" s="42" t="s">
        <v>123</v>
      </c>
      <c r="K42" s="8">
        <f>16</f>
        <v>16</v>
      </c>
      <c r="L42" s="8" t="s">
        <v>123</v>
      </c>
      <c r="M42" s="8" t="s">
        <v>123</v>
      </c>
      <c r="N42" s="8" t="s">
        <v>123</v>
      </c>
      <c r="O42" s="8">
        <v>101317</v>
      </c>
      <c r="P42" s="8" t="s">
        <v>123</v>
      </c>
      <c r="Q42" s="8" t="s">
        <v>123</v>
      </c>
      <c r="R42" s="42">
        <v>0</v>
      </c>
      <c r="S42" s="5"/>
    </row>
    <row r="43" spans="1:19" ht="12.5" x14ac:dyDescent="0.25">
      <c r="A43" s="8" t="s">
        <v>143</v>
      </c>
      <c r="B43" s="8" t="s">
        <v>118</v>
      </c>
      <c r="C43" s="8" t="s">
        <v>46</v>
      </c>
      <c r="D43" s="42">
        <v>1</v>
      </c>
      <c r="E43" s="42">
        <f>98694+550</f>
        <v>99244</v>
      </c>
      <c r="F43" s="42" t="s">
        <v>123</v>
      </c>
      <c r="G43" s="42">
        <f>3136+74+34</f>
        <v>3244</v>
      </c>
      <c r="H43" s="42" t="s">
        <v>123</v>
      </c>
      <c r="I43" s="42">
        <f>153+21</f>
        <v>174</v>
      </c>
      <c r="J43" s="42" t="s">
        <v>123</v>
      </c>
      <c r="K43" s="8">
        <v>4</v>
      </c>
      <c r="L43" s="8" t="s">
        <v>123</v>
      </c>
      <c r="M43" s="8" t="s">
        <v>123</v>
      </c>
      <c r="N43" s="8" t="s">
        <v>123</v>
      </c>
      <c r="O43" s="8">
        <v>102666</v>
      </c>
      <c r="P43" s="8" t="s">
        <v>123</v>
      </c>
      <c r="Q43" s="8" t="s">
        <v>123</v>
      </c>
      <c r="R43" s="42">
        <v>0</v>
      </c>
      <c r="S43" s="5"/>
    </row>
    <row r="44" spans="1:19" ht="12.5" x14ac:dyDescent="0.25">
      <c r="A44" s="8" t="s">
        <v>143</v>
      </c>
      <c r="B44" s="8" t="s">
        <v>118</v>
      </c>
      <c r="C44" s="8" t="s">
        <v>47</v>
      </c>
      <c r="D44" s="42">
        <v>1</v>
      </c>
      <c r="E44" s="42">
        <f>97053+506</f>
        <v>97559</v>
      </c>
      <c r="F44" s="42" t="s">
        <v>123</v>
      </c>
      <c r="G44" s="42">
        <f>3608+128+22</f>
        <v>3758</v>
      </c>
      <c r="H44" s="42" t="s">
        <v>123</v>
      </c>
      <c r="I44" s="42">
        <f>150+9+3</f>
        <v>162</v>
      </c>
      <c r="J44" s="42" t="s">
        <v>123</v>
      </c>
      <c r="K44" s="8">
        <v>12</v>
      </c>
      <c r="L44" s="8" t="s">
        <v>123</v>
      </c>
      <c r="M44" s="8" t="s">
        <v>123</v>
      </c>
      <c r="N44" s="8" t="s">
        <v>123</v>
      </c>
      <c r="O44" s="8">
        <v>101491</v>
      </c>
      <c r="P44" s="8" t="s">
        <v>123</v>
      </c>
      <c r="Q44" s="8" t="s">
        <v>123</v>
      </c>
      <c r="R44" s="42">
        <v>0</v>
      </c>
      <c r="S44" s="5"/>
    </row>
    <row r="45" spans="1:19" ht="12.5" x14ac:dyDescent="0.25">
      <c r="A45" s="8" t="s">
        <v>143</v>
      </c>
      <c r="B45" s="8" t="s">
        <v>118</v>
      </c>
      <c r="C45" s="8" t="s">
        <v>48</v>
      </c>
      <c r="D45" s="42">
        <v>1</v>
      </c>
      <c r="E45" s="42">
        <f>96566+530</f>
        <v>97096</v>
      </c>
      <c r="F45" s="42" t="s">
        <v>123</v>
      </c>
      <c r="G45" s="42">
        <f>3752+114+24</f>
        <v>3890</v>
      </c>
      <c r="H45" s="42" t="s">
        <v>123</v>
      </c>
      <c r="I45" s="42">
        <f>249+15+3+6</f>
        <v>273</v>
      </c>
      <c r="J45" s="42" t="s">
        <v>123</v>
      </c>
      <c r="K45" s="8">
        <v>8</v>
      </c>
      <c r="L45" s="8" t="s">
        <v>123</v>
      </c>
      <c r="M45" s="8" t="s">
        <v>123</v>
      </c>
      <c r="N45" s="8" t="s">
        <v>123</v>
      </c>
      <c r="O45" s="8">
        <v>101267</v>
      </c>
      <c r="P45" s="8" t="s">
        <v>123</v>
      </c>
      <c r="Q45" s="8" t="s">
        <v>123</v>
      </c>
      <c r="R45" s="42">
        <v>0</v>
      </c>
      <c r="S45" s="5"/>
    </row>
    <row r="46" spans="1:19" ht="12.5" x14ac:dyDescent="0.25">
      <c r="A46" s="8" t="s">
        <v>143</v>
      </c>
      <c r="B46" s="8" t="s">
        <v>118</v>
      </c>
      <c r="C46" s="8" t="s">
        <v>49</v>
      </c>
      <c r="D46" s="42">
        <v>1</v>
      </c>
      <c r="E46" s="42">
        <f>98992+456</f>
        <v>99448</v>
      </c>
      <c r="F46" s="42" t="s">
        <v>123</v>
      </c>
      <c r="G46" s="42">
        <f>3924+122+14</f>
        <v>4060</v>
      </c>
      <c r="H46" s="42" t="s">
        <v>123</v>
      </c>
      <c r="I46" s="42">
        <f>270+24</f>
        <v>294</v>
      </c>
      <c r="J46" s="42" t="s">
        <v>123</v>
      </c>
      <c r="K46" s="8">
        <f>8+4</f>
        <v>12</v>
      </c>
      <c r="L46" s="8" t="s">
        <v>123</v>
      </c>
      <c r="M46" s="8" t="s">
        <v>123</v>
      </c>
      <c r="N46" s="8" t="s">
        <v>123</v>
      </c>
      <c r="O46" s="8">
        <v>103814</v>
      </c>
      <c r="P46" s="8" t="s">
        <v>123</v>
      </c>
      <c r="Q46" s="8" t="s">
        <v>123</v>
      </c>
      <c r="R46" s="42">
        <v>0</v>
      </c>
      <c r="S46" s="5"/>
    </row>
    <row r="47" spans="1:19" ht="12.5" x14ac:dyDescent="0.25">
      <c r="A47" s="8" t="s">
        <v>143</v>
      </c>
      <c r="B47" s="8" t="s">
        <v>118</v>
      </c>
      <c r="C47" s="8" t="s">
        <v>50</v>
      </c>
      <c r="D47" s="42">
        <v>1</v>
      </c>
      <c r="E47" s="42">
        <f>97771+491</f>
        <v>98262</v>
      </c>
      <c r="F47" s="42" t="s">
        <v>123</v>
      </c>
      <c r="G47" s="42">
        <f>4204+112+30</f>
        <v>4346</v>
      </c>
      <c r="H47" s="42" t="s">
        <v>123</v>
      </c>
      <c r="I47" s="42">
        <f>240+6+9+3</f>
        <v>258</v>
      </c>
      <c r="J47" s="42" t="s">
        <v>123</v>
      </c>
      <c r="K47" s="8">
        <v>4</v>
      </c>
      <c r="L47" s="8" t="s">
        <v>123</v>
      </c>
      <c r="M47" s="8" t="s">
        <v>123</v>
      </c>
      <c r="N47" s="8" t="s">
        <v>123</v>
      </c>
      <c r="O47" s="8">
        <v>102870</v>
      </c>
      <c r="P47" s="8" t="s">
        <v>123</v>
      </c>
      <c r="Q47" s="8" t="s">
        <v>123</v>
      </c>
      <c r="R47" s="42">
        <v>0</v>
      </c>
      <c r="S47" s="5"/>
    </row>
    <row r="48" spans="1:19" ht="12.5" x14ac:dyDescent="0.25">
      <c r="A48" s="8" t="s">
        <v>143</v>
      </c>
      <c r="B48" s="8" t="s">
        <v>118</v>
      </c>
      <c r="C48" s="8" t="s">
        <v>51</v>
      </c>
      <c r="D48" s="42">
        <v>1</v>
      </c>
      <c r="E48" s="42">
        <f>99265+452</f>
        <v>99717</v>
      </c>
      <c r="F48" s="42" t="s">
        <v>123</v>
      </c>
      <c r="G48" s="42">
        <f>4046+76+12</f>
        <v>4134</v>
      </c>
      <c r="H48" s="42" t="s">
        <v>123</v>
      </c>
      <c r="I48" s="42">
        <f>204+24</f>
        <v>228</v>
      </c>
      <c r="J48" s="42" t="s">
        <v>123</v>
      </c>
      <c r="K48" s="8">
        <v>0</v>
      </c>
      <c r="L48" s="8" t="s">
        <v>123</v>
      </c>
      <c r="M48" s="8" t="s">
        <v>123</v>
      </c>
      <c r="N48" s="8" t="s">
        <v>123</v>
      </c>
      <c r="O48" s="8">
        <v>104079</v>
      </c>
      <c r="P48" s="8" t="s">
        <v>123</v>
      </c>
      <c r="Q48" s="8" t="s">
        <v>123</v>
      </c>
      <c r="R48" s="42">
        <v>0</v>
      </c>
      <c r="S48" s="5"/>
    </row>
    <row r="49" spans="1:19" ht="12.5" x14ac:dyDescent="0.25">
      <c r="A49" s="8" t="s">
        <v>143</v>
      </c>
      <c r="B49" s="8" t="s">
        <v>118</v>
      </c>
      <c r="C49" s="8" t="s">
        <v>52</v>
      </c>
      <c r="D49" s="42">
        <v>1</v>
      </c>
      <c r="E49" s="42">
        <f>99861+415</f>
        <v>100276</v>
      </c>
      <c r="F49" s="42" t="s">
        <v>123</v>
      </c>
      <c r="G49" s="42">
        <f>4248+116+26</f>
        <v>4390</v>
      </c>
      <c r="H49" s="42" t="s">
        <v>123</v>
      </c>
      <c r="I49" s="42">
        <f>234+9+3</f>
        <v>246</v>
      </c>
      <c r="J49" s="42" t="s">
        <v>123</v>
      </c>
      <c r="K49" s="8">
        <v>12</v>
      </c>
      <c r="L49" s="8" t="s">
        <v>123</v>
      </c>
      <c r="M49" s="8" t="s">
        <v>123</v>
      </c>
      <c r="N49" s="8" t="s">
        <v>123</v>
      </c>
      <c r="O49" s="8">
        <v>104924</v>
      </c>
      <c r="P49" s="8" t="s">
        <v>123</v>
      </c>
      <c r="Q49" s="8" t="s">
        <v>123</v>
      </c>
      <c r="R49" s="42">
        <v>0</v>
      </c>
      <c r="S49" s="5"/>
    </row>
    <row r="50" spans="1:19" ht="12.5" x14ac:dyDescent="0.25">
      <c r="A50" s="8" t="s">
        <v>143</v>
      </c>
      <c r="B50" s="8" t="s">
        <v>118</v>
      </c>
      <c r="C50" s="8" t="s">
        <v>53</v>
      </c>
      <c r="D50" s="42">
        <v>1</v>
      </c>
      <c r="E50" s="42">
        <f>100882+379</f>
        <v>101261</v>
      </c>
      <c r="F50" s="42" t="s">
        <v>123</v>
      </c>
      <c r="G50" s="42">
        <f>4438+124+24</f>
        <v>4586</v>
      </c>
      <c r="H50" s="42" t="s">
        <v>123</v>
      </c>
      <c r="I50" s="42">
        <f>255+24+6</f>
        <v>285</v>
      </c>
      <c r="J50" s="42" t="s">
        <v>123</v>
      </c>
      <c r="K50" s="8">
        <v>0</v>
      </c>
      <c r="L50" s="8" t="s">
        <v>123</v>
      </c>
      <c r="M50" s="8" t="s">
        <v>123</v>
      </c>
      <c r="N50" s="8" t="s">
        <v>123</v>
      </c>
      <c r="O50" s="8">
        <v>106132</v>
      </c>
      <c r="P50" s="8" t="s">
        <v>123</v>
      </c>
      <c r="Q50" s="8" t="s">
        <v>123</v>
      </c>
      <c r="R50" s="42">
        <v>0</v>
      </c>
      <c r="S50" s="5"/>
    </row>
    <row r="51" spans="1:19" ht="12.5" x14ac:dyDescent="0.25">
      <c r="A51" s="8" t="s">
        <v>143</v>
      </c>
      <c r="B51" s="8" t="s">
        <v>118</v>
      </c>
      <c r="C51" s="8" t="s">
        <v>54</v>
      </c>
      <c r="D51" s="42">
        <v>1</v>
      </c>
      <c r="E51" s="42">
        <f>102648+343</f>
        <v>102991</v>
      </c>
      <c r="F51" s="42" t="s">
        <v>123</v>
      </c>
      <c r="G51" s="42">
        <f>4610+96+26</f>
        <v>4732</v>
      </c>
      <c r="H51" s="42" t="s">
        <v>123</v>
      </c>
      <c r="I51" s="42">
        <f>231+12</f>
        <v>243</v>
      </c>
      <c r="J51" s="42" t="s">
        <v>123</v>
      </c>
      <c r="K51" s="8">
        <v>0</v>
      </c>
      <c r="L51" s="8" t="s">
        <v>123</v>
      </c>
      <c r="M51" s="8" t="s">
        <v>123</v>
      </c>
      <c r="N51" s="8" t="s">
        <v>123</v>
      </c>
      <c r="O51" s="8">
        <v>107966</v>
      </c>
      <c r="P51" s="8" t="s">
        <v>123</v>
      </c>
      <c r="Q51" s="8" t="s">
        <v>123</v>
      </c>
      <c r="R51" s="42">
        <v>0</v>
      </c>
      <c r="S51" s="5"/>
    </row>
    <row r="52" spans="1:19" ht="12.5" x14ac:dyDescent="0.25">
      <c r="A52" s="8" t="s">
        <v>143</v>
      </c>
      <c r="B52" s="8" t="s">
        <v>118</v>
      </c>
      <c r="C52" s="8" t="s">
        <v>55</v>
      </c>
      <c r="D52" s="42">
        <v>1</v>
      </c>
      <c r="E52" s="42">
        <f>106922+304</f>
        <v>107226</v>
      </c>
      <c r="F52" s="42" t="s">
        <v>123</v>
      </c>
      <c r="G52" s="42">
        <f>4792+66+24</f>
        <v>4882</v>
      </c>
      <c r="H52" s="42" t="s">
        <v>123</v>
      </c>
      <c r="I52" s="42">
        <f>270+30+3+3</f>
        <v>306</v>
      </c>
      <c r="J52" s="42" t="s">
        <v>123</v>
      </c>
      <c r="K52" s="8">
        <v>4</v>
      </c>
      <c r="L52" s="8" t="s">
        <v>123</v>
      </c>
      <c r="M52" s="8" t="s">
        <v>123</v>
      </c>
      <c r="N52" s="8" t="s">
        <v>123</v>
      </c>
      <c r="O52" s="8">
        <v>112418</v>
      </c>
      <c r="P52" s="8" t="s">
        <v>123</v>
      </c>
      <c r="Q52" s="8" t="s">
        <v>123</v>
      </c>
      <c r="R52" s="42">
        <v>0</v>
      </c>
      <c r="S52" s="5"/>
    </row>
    <row r="53" spans="1:19" ht="12.5" x14ac:dyDescent="0.25">
      <c r="A53" s="8" t="s">
        <v>143</v>
      </c>
      <c r="B53" s="8" t="s">
        <v>118</v>
      </c>
      <c r="C53" s="8" t="s">
        <v>56</v>
      </c>
      <c r="D53" s="42">
        <v>1</v>
      </c>
      <c r="E53" s="42">
        <f>106544+361</f>
        <v>106905</v>
      </c>
      <c r="F53" s="42" t="s">
        <v>123</v>
      </c>
      <c r="G53" s="42">
        <f>5102+116+16</f>
        <v>5234</v>
      </c>
      <c r="H53" s="42" t="s">
        <v>123</v>
      </c>
      <c r="I53" s="42">
        <f>219+12</f>
        <v>231</v>
      </c>
      <c r="J53" s="42" t="s">
        <v>123</v>
      </c>
      <c r="K53" s="8">
        <v>0</v>
      </c>
      <c r="L53" s="8" t="s">
        <v>123</v>
      </c>
      <c r="M53" s="8" t="s">
        <v>123</v>
      </c>
      <c r="N53" s="8" t="s">
        <v>123</v>
      </c>
      <c r="O53" s="8">
        <v>112370</v>
      </c>
      <c r="P53" s="8" t="s">
        <v>123</v>
      </c>
      <c r="Q53" s="8" t="s">
        <v>123</v>
      </c>
      <c r="R53" s="42">
        <v>0</v>
      </c>
      <c r="S53" s="5"/>
    </row>
    <row r="54" spans="1:19" ht="12.5" x14ac:dyDescent="0.25">
      <c r="A54" s="8" t="s">
        <v>143</v>
      </c>
      <c r="B54" s="8" t="s">
        <v>118</v>
      </c>
      <c r="C54" s="8" t="s">
        <v>57</v>
      </c>
      <c r="D54" s="42">
        <v>1</v>
      </c>
      <c r="E54" s="42">
        <f>112795+319</f>
        <v>113114</v>
      </c>
      <c r="F54" s="42" t="s">
        <v>123</v>
      </c>
      <c r="G54" s="42">
        <f>5194+110+14</f>
        <v>5318</v>
      </c>
      <c r="H54" s="42" t="s">
        <v>123</v>
      </c>
      <c r="I54" s="42">
        <f>249+6+3</f>
        <v>258</v>
      </c>
      <c r="J54" s="42" t="s">
        <v>123</v>
      </c>
      <c r="K54" s="8">
        <v>4</v>
      </c>
      <c r="L54" s="8" t="s">
        <v>123</v>
      </c>
      <c r="M54" s="8" t="s">
        <v>123</v>
      </c>
      <c r="N54" s="8" t="s">
        <v>123</v>
      </c>
      <c r="O54" s="8">
        <v>118694</v>
      </c>
      <c r="P54" s="8" t="s">
        <v>123</v>
      </c>
      <c r="Q54" s="8" t="s">
        <v>123</v>
      </c>
      <c r="R54" s="42">
        <v>0</v>
      </c>
      <c r="S54" s="5"/>
    </row>
    <row r="55" spans="1:19" ht="12.5" x14ac:dyDescent="0.25">
      <c r="A55" s="8" t="s">
        <v>143</v>
      </c>
      <c r="B55" s="8" t="s">
        <v>118</v>
      </c>
      <c r="C55" s="8" t="s">
        <v>58</v>
      </c>
      <c r="D55" s="42">
        <v>1</v>
      </c>
      <c r="E55" s="42">
        <f>111898+406</f>
        <v>112304</v>
      </c>
      <c r="F55" s="42" t="s">
        <v>123</v>
      </c>
      <c r="G55" s="42">
        <f>5628+162+8</f>
        <v>5798</v>
      </c>
      <c r="H55" s="42" t="s">
        <v>123</v>
      </c>
      <c r="I55" s="42">
        <f>312+21+3</f>
        <v>336</v>
      </c>
      <c r="J55" s="42" t="s">
        <v>123</v>
      </c>
      <c r="K55" s="8">
        <v>0</v>
      </c>
      <c r="L55" s="8" t="s">
        <v>123</v>
      </c>
      <c r="M55" s="8" t="s">
        <v>123</v>
      </c>
      <c r="N55" s="8" t="s">
        <v>123</v>
      </c>
      <c r="O55" s="8">
        <v>118438</v>
      </c>
      <c r="P55" s="8" t="s">
        <v>123</v>
      </c>
      <c r="Q55" s="8" t="s">
        <v>123</v>
      </c>
      <c r="R55" s="42">
        <v>0</v>
      </c>
      <c r="S55" s="5"/>
    </row>
    <row r="56" spans="1:19" ht="12.5" x14ac:dyDescent="0.25">
      <c r="A56" s="8" t="s">
        <v>143</v>
      </c>
      <c r="B56" s="8" t="s">
        <v>118</v>
      </c>
      <c r="C56" s="8" t="s">
        <v>59</v>
      </c>
      <c r="D56" s="42">
        <v>1</v>
      </c>
      <c r="E56" s="42">
        <f>108724+403</f>
        <v>109127</v>
      </c>
      <c r="F56" s="42" t="s">
        <v>123</v>
      </c>
      <c r="G56" s="42">
        <f>5568+142+16</f>
        <v>5726</v>
      </c>
      <c r="H56" s="42" t="s">
        <v>123</v>
      </c>
      <c r="I56" s="42">
        <f>381+18+6</f>
        <v>405</v>
      </c>
      <c r="J56" s="42" t="s">
        <v>123</v>
      </c>
      <c r="K56" s="8">
        <v>8</v>
      </c>
      <c r="L56" s="8" t="s">
        <v>123</v>
      </c>
      <c r="M56" s="8" t="s">
        <v>123</v>
      </c>
      <c r="N56" s="8" t="s">
        <v>123</v>
      </c>
      <c r="O56" s="8">
        <v>115266</v>
      </c>
      <c r="P56" s="8" t="s">
        <v>123</v>
      </c>
      <c r="Q56" s="8" t="s">
        <v>123</v>
      </c>
      <c r="R56" s="42">
        <v>0</v>
      </c>
      <c r="S56" s="5"/>
    </row>
    <row r="57" spans="1:19" ht="12.5" x14ac:dyDescent="0.25">
      <c r="A57" s="8" t="s">
        <v>143</v>
      </c>
      <c r="B57" s="8" t="s">
        <v>118</v>
      </c>
      <c r="C57" s="8" t="s">
        <v>60</v>
      </c>
      <c r="D57" s="42">
        <v>1</v>
      </c>
      <c r="E57" s="42">
        <f>101253+345</f>
        <v>101598</v>
      </c>
      <c r="F57" s="42" t="s">
        <v>123</v>
      </c>
      <c r="G57" s="42">
        <f>4858+110+24</f>
        <v>4992</v>
      </c>
      <c r="H57" s="42" t="s">
        <v>123</v>
      </c>
      <c r="I57" s="42">
        <f>240+21</f>
        <v>261</v>
      </c>
      <c r="J57" s="42" t="s">
        <v>123</v>
      </c>
      <c r="K57" s="8">
        <f>8</f>
        <v>8</v>
      </c>
      <c r="L57" s="8" t="s">
        <v>123</v>
      </c>
      <c r="M57" s="8" t="s">
        <v>123</v>
      </c>
      <c r="N57" s="8" t="s">
        <v>123</v>
      </c>
      <c r="O57" s="8">
        <v>106859</v>
      </c>
      <c r="P57" s="8" t="s">
        <v>123</v>
      </c>
      <c r="Q57" s="8" t="s">
        <v>123</v>
      </c>
      <c r="R57" s="42">
        <v>0</v>
      </c>
      <c r="S57" s="5"/>
    </row>
    <row r="58" spans="1:19" ht="12.5" x14ac:dyDescent="0.25">
      <c r="A58" s="8" t="s">
        <v>143</v>
      </c>
      <c r="B58" s="8" t="s">
        <v>118</v>
      </c>
      <c r="C58" s="8" t="s">
        <v>61</v>
      </c>
      <c r="D58" s="42">
        <v>1</v>
      </c>
      <c r="E58" s="42">
        <f>95465+342</f>
        <v>95807</v>
      </c>
      <c r="F58" s="42" t="s">
        <v>123</v>
      </c>
      <c r="G58" s="42">
        <f>4542+148+22</f>
        <v>4712</v>
      </c>
      <c r="H58" s="42" t="s">
        <v>123</v>
      </c>
      <c r="I58" s="42">
        <f>276+12+6</f>
        <v>294</v>
      </c>
      <c r="J58" s="42" t="s">
        <v>123</v>
      </c>
      <c r="K58" s="8">
        <v>4</v>
      </c>
      <c r="L58" s="8" t="s">
        <v>123</v>
      </c>
      <c r="M58" s="8" t="s">
        <v>123</v>
      </c>
      <c r="N58" s="8" t="s">
        <v>123</v>
      </c>
      <c r="O58" s="8">
        <v>100817</v>
      </c>
      <c r="P58" s="8" t="s">
        <v>123</v>
      </c>
      <c r="Q58" s="8" t="s">
        <v>123</v>
      </c>
      <c r="R58" s="42">
        <v>0</v>
      </c>
      <c r="S58" s="5"/>
    </row>
    <row r="59" spans="1:19" ht="12.5" x14ac:dyDescent="0.25">
      <c r="A59" s="8" t="s">
        <v>143</v>
      </c>
      <c r="B59" s="8" t="s">
        <v>118</v>
      </c>
      <c r="C59" s="8" t="s">
        <v>62</v>
      </c>
      <c r="D59" s="42">
        <v>1</v>
      </c>
      <c r="E59" s="42">
        <f>89332+306</f>
        <v>89638</v>
      </c>
      <c r="F59" s="42" t="s">
        <v>123</v>
      </c>
      <c r="G59" s="42">
        <f>4510+92+12</f>
        <v>4614</v>
      </c>
      <c r="H59" s="42" t="s">
        <v>123</v>
      </c>
      <c r="I59" s="42">
        <f>228+24+6</f>
        <v>258</v>
      </c>
      <c r="J59" s="42" t="s">
        <v>123</v>
      </c>
      <c r="K59" s="8">
        <v>0</v>
      </c>
      <c r="L59" s="8" t="s">
        <v>123</v>
      </c>
      <c r="M59" s="8" t="s">
        <v>123</v>
      </c>
      <c r="N59" s="8" t="s">
        <v>123</v>
      </c>
      <c r="O59" s="8">
        <v>94510</v>
      </c>
      <c r="P59" s="8" t="s">
        <v>123</v>
      </c>
      <c r="Q59" s="8" t="s">
        <v>123</v>
      </c>
      <c r="R59" s="42">
        <v>0</v>
      </c>
      <c r="S59" s="5"/>
    </row>
    <row r="60" spans="1:19" ht="12.5" x14ac:dyDescent="0.25">
      <c r="A60" s="8" t="s">
        <v>143</v>
      </c>
      <c r="B60" s="8" t="s">
        <v>118</v>
      </c>
      <c r="C60" s="8" t="s">
        <v>63</v>
      </c>
      <c r="D60" s="42">
        <v>1</v>
      </c>
      <c r="E60" s="42">
        <f>87652+299</f>
        <v>87951</v>
      </c>
      <c r="F60" s="42" t="s">
        <v>123</v>
      </c>
      <c r="G60" s="42">
        <f>4256+94+6</f>
        <v>4356</v>
      </c>
      <c r="H60" s="42" t="s">
        <v>123</v>
      </c>
      <c r="I60" s="42">
        <f>192+3</f>
        <v>195</v>
      </c>
      <c r="J60" s="42" t="s">
        <v>123</v>
      </c>
      <c r="K60" s="8">
        <v>0</v>
      </c>
      <c r="L60" s="8" t="s">
        <v>123</v>
      </c>
      <c r="M60" s="8" t="s">
        <v>123</v>
      </c>
      <c r="N60" s="8" t="s">
        <v>123</v>
      </c>
      <c r="O60" s="8">
        <v>92502</v>
      </c>
      <c r="P60" s="8" t="s">
        <v>123</v>
      </c>
      <c r="Q60" s="8" t="s">
        <v>123</v>
      </c>
      <c r="R60" s="42">
        <v>0</v>
      </c>
      <c r="S60" s="5"/>
    </row>
    <row r="61" spans="1:19" ht="12.5" x14ac:dyDescent="0.25">
      <c r="A61" s="8" t="s">
        <v>143</v>
      </c>
      <c r="B61" s="8" t="s">
        <v>118</v>
      </c>
      <c r="C61" s="8" t="s">
        <v>64</v>
      </c>
      <c r="D61" s="42">
        <v>1</v>
      </c>
      <c r="E61" s="42">
        <f>87118+256</f>
        <v>87374</v>
      </c>
      <c r="F61" s="42" t="s">
        <v>123</v>
      </c>
      <c r="G61" s="42">
        <f>4570+100</f>
        <v>4670</v>
      </c>
      <c r="H61" s="42" t="s">
        <v>123</v>
      </c>
      <c r="I61" s="42">
        <f>99+9+3</f>
        <v>111</v>
      </c>
      <c r="J61" s="42" t="s">
        <v>123</v>
      </c>
      <c r="K61" s="8">
        <v>4</v>
      </c>
      <c r="L61" s="8" t="s">
        <v>123</v>
      </c>
      <c r="M61" s="8" t="s">
        <v>123</v>
      </c>
      <c r="N61" s="8" t="s">
        <v>123</v>
      </c>
      <c r="O61" s="8">
        <v>92159</v>
      </c>
      <c r="P61" s="8" t="s">
        <v>123</v>
      </c>
      <c r="Q61" s="8" t="s">
        <v>123</v>
      </c>
      <c r="R61" s="42">
        <v>0</v>
      </c>
      <c r="S61" s="5"/>
    </row>
    <row r="62" spans="1:19" ht="12.5" x14ac:dyDescent="0.25">
      <c r="A62" s="8" t="s">
        <v>143</v>
      </c>
      <c r="B62" s="8" t="s">
        <v>118</v>
      </c>
      <c r="C62" s="8" t="s">
        <v>65</v>
      </c>
      <c r="D62" s="42">
        <v>1</v>
      </c>
      <c r="E62" s="42">
        <f>88299+284</f>
        <v>88583</v>
      </c>
      <c r="F62" s="42" t="s">
        <v>123</v>
      </c>
      <c r="G62" s="42">
        <f>4448+88+10</f>
        <v>4546</v>
      </c>
      <c r="H62" s="42" t="s">
        <v>123</v>
      </c>
      <c r="I62" s="42">
        <f>105+3</f>
        <v>108</v>
      </c>
      <c r="J62" s="42" t="s">
        <v>123</v>
      </c>
      <c r="K62" s="8">
        <v>0</v>
      </c>
      <c r="L62" s="8" t="s">
        <v>123</v>
      </c>
      <c r="M62" s="8" t="s">
        <v>123</v>
      </c>
      <c r="N62" s="8" t="s">
        <v>123</v>
      </c>
      <c r="O62" s="8">
        <v>93237</v>
      </c>
      <c r="P62" s="8" t="s">
        <v>123</v>
      </c>
      <c r="Q62" s="8" t="s">
        <v>123</v>
      </c>
      <c r="R62" s="42">
        <v>0</v>
      </c>
      <c r="S62" s="5"/>
    </row>
    <row r="63" spans="1:19" ht="12.5" x14ac:dyDescent="0.25">
      <c r="A63" s="8" t="s">
        <v>143</v>
      </c>
      <c r="B63" s="8" t="s">
        <v>118</v>
      </c>
      <c r="C63" s="8" t="s">
        <v>66</v>
      </c>
      <c r="D63" s="42">
        <v>1</v>
      </c>
      <c r="E63" s="42">
        <f>84082+312</f>
        <v>84394</v>
      </c>
      <c r="F63" s="42" t="s">
        <v>123</v>
      </c>
      <c r="G63" s="42">
        <f>4350+76+12</f>
        <v>4438</v>
      </c>
      <c r="H63" s="42" t="s">
        <v>123</v>
      </c>
      <c r="I63" s="42">
        <f>81+3</f>
        <v>84</v>
      </c>
      <c r="J63" s="42" t="s">
        <v>123</v>
      </c>
      <c r="K63" s="8">
        <v>0</v>
      </c>
      <c r="L63" s="8" t="s">
        <v>123</v>
      </c>
      <c r="M63" s="8" t="s">
        <v>123</v>
      </c>
      <c r="N63" s="8" t="s">
        <v>123</v>
      </c>
      <c r="O63" s="8">
        <v>88916</v>
      </c>
      <c r="P63" s="8" t="s">
        <v>123</v>
      </c>
      <c r="Q63" s="8" t="s">
        <v>123</v>
      </c>
      <c r="R63" s="42">
        <v>0</v>
      </c>
      <c r="S63" s="5"/>
    </row>
    <row r="64" spans="1:19" ht="12.5" x14ac:dyDescent="0.25">
      <c r="A64" s="8" t="s">
        <v>143</v>
      </c>
      <c r="B64" s="8" t="s">
        <v>118</v>
      </c>
      <c r="C64" s="8" t="s">
        <v>67</v>
      </c>
      <c r="D64" s="42">
        <v>1</v>
      </c>
      <c r="E64" s="42">
        <f>81945+277</f>
        <v>82222</v>
      </c>
      <c r="F64" s="42" t="s">
        <v>123</v>
      </c>
      <c r="G64" s="42">
        <f>4374+84+14</f>
        <v>4472</v>
      </c>
      <c r="H64" s="42" t="s">
        <v>123</v>
      </c>
      <c r="I64" s="42">
        <f>75+6</f>
        <v>81</v>
      </c>
      <c r="J64" s="42" t="s">
        <v>123</v>
      </c>
      <c r="K64" s="8">
        <v>0</v>
      </c>
      <c r="L64" s="8" t="s">
        <v>123</v>
      </c>
      <c r="M64" s="8" t="s">
        <v>123</v>
      </c>
      <c r="N64" s="8" t="s">
        <v>123</v>
      </c>
      <c r="O64" s="8">
        <v>86775</v>
      </c>
      <c r="P64" s="8" t="s">
        <v>123</v>
      </c>
      <c r="Q64" s="8" t="s">
        <v>123</v>
      </c>
      <c r="R64" s="42">
        <v>0</v>
      </c>
      <c r="S64" s="5"/>
    </row>
    <row r="65" spans="1:19" ht="12.5" x14ac:dyDescent="0.25">
      <c r="A65" s="8" t="s">
        <v>143</v>
      </c>
      <c r="B65" s="8" t="s">
        <v>118</v>
      </c>
      <c r="C65" s="8" t="s">
        <v>69</v>
      </c>
      <c r="D65" s="42">
        <v>1</v>
      </c>
      <c r="E65" s="42">
        <f>79524+382</f>
        <v>79906</v>
      </c>
      <c r="F65" s="42" t="s">
        <v>123</v>
      </c>
      <c r="G65" s="42">
        <f>4092+104+16</f>
        <v>4212</v>
      </c>
      <c r="H65" s="42" t="s">
        <v>123</v>
      </c>
      <c r="I65" s="42">
        <f>90+6+3</f>
        <v>99</v>
      </c>
      <c r="J65" s="42" t="s">
        <v>123</v>
      </c>
      <c r="K65" s="8">
        <v>0</v>
      </c>
      <c r="L65" s="8" t="s">
        <v>123</v>
      </c>
      <c r="M65" s="8" t="s">
        <v>123</v>
      </c>
      <c r="N65" s="8" t="s">
        <v>123</v>
      </c>
      <c r="O65" s="8">
        <v>84217</v>
      </c>
      <c r="P65" s="8" t="s">
        <v>123</v>
      </c>
      <c r="Q65" s="8" t="s">
        <v>123</v>
      </c>
      <c r="R65" s="42">
        <v>0</v>
      </c>
      <c r="S65" s="5"/>
    </row>
    <row r="66" spans="1:19" ht="15.75" customHeight="1" x14ac:dyDescent="0.3">
      <c r="F66" s="8"/>
      <c r="H66" s="8"/>
      <c r="J66" s="8"/>
      <c r="K66" s="8"/>
      <c r="L66" s="8"/>
      <c r="M66" s="8"/>
      <c r="N66" s="8"/>
      <c r="O66" s="8"/>
      <c r="P66" s="8"/>
      <c r="Q66" s="8"/>
    </row>
    <row r="67" spans="1:19" ht="15.75" customHeight="1" x14ac:dyDescent="0.3">
      <c r="F67" s="8"/>
      <c r="H67" s="8"/>
      <c r="J67" s="8"/>
      <c r="K67" s="8"/>
      <c r="L67" s="8"/>
      <c r="M67" s="8"/>
      <c r="N67" s="8"/>
      <c r="O67" s="8"/>
      <c r="P67" s="8"/>
      <c r="Q67"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70" zoomScaleNormal="70" workbookViewId="0"/>
  </sheetViews>
  <sheetFormatPr baseColWidth="10" defaultColWidth="11.54296875" defaultRowHeight="12.5" x14ac:dyDescent="0.25"/>
  <cols>
    <col min="1" max="1" width="29.90625" style="24" customWidth="1"/>
    <col min="2" max="2" width="75.08984375" style="14" customWidth="1"/>
    <col min="3" max="16384" width="11.54296875" style="14"/>
  </cols>
  <sheetData>
    <row r="1" spans="1:2" x14ac:dyDescent="0.25">
      <c r="A1" s="14"/>
    </row>
    <row r="2" spans="1:2" x14ac:dyDescent="0.25">
      <c r="A2" s="14"/>
    </row>
    <row r="3" spans="1:2" x14ac:dyDescent="0.25">
      <c r="A3" s="14"/>
    </row>
    <row r="4" spans="1:2" x14ac:dyDescent="0.25">
      <c r="A4" s="14"/>
    </row>
    <row r="5" spans="1:2" x14ac:dyDescent="0.25">
      <c r="A5" s="14"/>
      <c r="B5" s="52" t="s">
        <v>146</v>
      </c>
    </row>
    <row r="6" spans="1:2" x14ac:dyDescent="0.25">
      <c r="A6" s="14"/>
    </row>
    <row r="7" spans="1:2" ht="15.5" x14ac:dyDescent="0.35">
      <c r="A7" s="16" t="s">
        <v>90</v>
      </c>
    </row>
    <row r="8" spans="1:2" ht="12.5" customHeight="1" thickBot="1" x14ac:dyDescent="0.4">
      <c r="A8" s="16"/>
    </row>
    <row r="9" spans="1:2" ht="12.5" customHeight="1" x14ac:dyDescent="0.25">
      <c r="A9" s="17" t="s">
        <v>91</v>
      </c>
      <c r="B9" s="18" t="s">
        <v>92</v>
      </c>
    </row>
    <row r="10" spans="1:2" ht="12.5" customHeight="1" x14ac:dyDescent="0.3">
      <c r="A10" s="19" t="s">
        <v>0</v>
      </c>
      <c r="B10" s="20" t="s">
        <v>93</v>
      </c>
    </row>
    <row r="11" spans="1:2" ht="12.5" customHeight="1" x14ac:dyDescent="0.3">
      <c r="A11" s="21" t="s">
        <v>1</v>
      </c>
      <c r="B11" s="20" t="s">
        <v>94</v>
      </c>
    </row>
    <row r="12" spans="1:2" ht="12.5" customHeight="1" x14ac:dyDescent="0.3">
      <c r="A12" s="19" t="s">
        <v>2</v>
      </c>
      <c r="B12" s="53" t="s">
        <v>95</v>
      </c>
    </row>
    <row r="13" spans="1:2" x14ac:dyDescent="0.25">
      <c r="A13" s="60" t="s">
        <v>70</v>
      </c>
      <c r="B13" s="53" t="s">
        <v>96</v>
      </c>
    </row>
    <row r="14" spans="1:2" x14ac:dyDescent="0.25">
      <c r="A14" s="60"/>
      <c r="B14" s="54" t="s">
        <v>97</v>
      </c>
    </row>
    <row r="15" spans="1:2" x14ac:dyDescent="0.25">
      <c r="A15" s="60"/>
      <c r="B15" s="54" t="s">
        <v>98</v>
      </c>
    </row>
    <row r="16" spans="1:2" x14ac:dyDescent="0.25">
      <c r="A16" s="60"/>
      <c r="B16" s="54" t="s">
        <v>99</v>
      </c>
    </row>
    <row r="17" spans="1:2" x14ac:dyDescent="0.25">
      <c r="A17" s="60"/>
      <c r="B17" s="55" t="s">
        <v>100</v>
      </c>
    </row>
    <row r="18" spans="1:2" ht="13" x14ac:dyDescent="0.3">
      <c r="A18" s="19" t="s">
        <v>71</v>
      </c>
      <c r="B18" s="55" t="s">
        <v>101</v>
      </c>
    </row>
    <row r="19" spans="1:2" ht="13" x14ac:dyDescent="0.3">
      <c r="A19" s="19" t="s">
        <v>74</v>
      </c>
      <c r="B19" s="20" t="s">
        <v>102</v>
      </c>
    </row>
    <row r="20" spans="1:2" ht="13" x14ac:dyDescent="0.3">
      <c r="A20" s="19" t="s">
        <v>75</v>
      </c>
      <c r="B20" s="20" t="s">
        <v>103</v>
      </c>
    </row>
    <row r="21" spans="1:2" ht="13" x14ac:dyDescent="0.3">
      <c r="A21" s="19" t="s">
        <v>76</v>
      </c>
      <c r="B21" s="20" t="s">
        <v>104</v>
      </c>
    </row>
    <row r="22" spans="1:2" ht="13" x14ac:dyDescent="0.3">
      <c r="A22" s="19" t="s">
        <v>77</v>
      </c>
      <c r="B22" s="20" t="s">
        <v>105</v>
      </c>
    </row>
    <row r="23" spans="1:2" ht="13" x14ac:dyDescent="0.3">
      <c r="A23" s="19" t="s">
        <v>78</v>
      </c>
      <c r="B23" s="20" t="s">
        <v>106</v>
      </c>
    </row>
    <row r="24" spans="1:2" ht="13" x14ac:dyDescent="0.3">
      <c r="A24" s="19" t="s">
        <v>79</v>
      </c>
      <c r="B24" s="20" t="s">
        <v>107</v>
      </c>
    </row>
    <row r="25" spans="1:2" ht="13" x14ac:dyDescent="0.3">
      <c r="A25" s="19" t="s">
        <v>80</v>
      </c>
      <c r="B25" s="20" t="s">
        <v>108</v>
      </c>
    </row>
    <row r="26" spans="1:2" ht="13" x14ac:dyDescent="0.3">
      <c r="A26" s="19" t="s">
        <v>81</v>
      </c>
      <c r="B26" s="22" t="s">
        <v>109</v>
      </c>
    </row>
    <row r="27" spans="1:2" ht="13.75" customHeight="1" x14ac:dyDescent="0.3">
      <c r="A27" s="19" t="s">
        <v>3</v>
      </c>
      <c r="B27" s="20" t="s">
        <v>110</v>
      </c>
    </row>
    <row r="28" spans="1:2" ht="13" x14ac:dyDescent="0.3">
      <c r="A28" s="19" t="s">
        <v>82</v>
      </c>
      <c r="B28" s="20" t="s">
        <v>111</v>
      </c>
    </row>
    <row r="29" spans="1:2" ht="13" x14ac:dyDescent="0.3">
      <c r="A29" s="19" t="s">
        <v>4</v>
      </c>
      <c r="B29" s="22" t="s">
        <v>112</v>
      </c>
    </row>
    <row r="30" spans="1:2" ht="13" x14ac:dyDescent="0.3">
      <c r="A30" s="19" t="s">
        <v>68</v>
      </c>
      <c r="B30" s="56" t="s">
        <v>113</v>
      </c>
    </row>
    <row r="31" spans="1:2" ht="38" x14ac:dyDescent="0.25">
      <c r="A31" s="61" t="s">
        <v>149</v>
      </c>
      <c r="B31" s="57" t="s">
        <v>150</v>
      </c>
    </row>
    <row r="32" spans="1:2" x14ac:dyDescent="0.25">
      <c r="A32" s="62"/>
      <c r="B32" s="54" t="s">
        <v>151</v>
      </c>
    </row>
    <row r="33" spans="1:2" ht="13" thickBot="1" x14ac:dyDescent="0.3">
      <c r="A33" s="63"/>
      <c r="B33" s="58" t="s">
        <v>152</v>
      </c>
    </row>
    <row r="34" spans="1:2" x14ac:dyDescent="0.25">
      <c r="A34" s="64" t="s">
        <v>114</v>
      </c>
      <c r="B34" s="64"/>
    </row>
    <row r="35" spans="1:2" x14ac:dyDescent="0.25">
      <c r="A35" s="64"/>
      <c r="B35" s="64"/>
    </row>
    <row r="36" spans="1:2" x14ac:dyDescent="0.25">
      <c r="A36" s="23" t="s">
        <v>115</v>
      </c>
      <c r="B36" s="23"/>
    </row>
  </sheetData>
  <mergeCells count="3">
    <mergeCell ref="A13:A17"/>
    <mergeCell ref="A31:A33"/>
    <mergeCell ref="A34:B35"/>
  </mergeCells>
  <hyperlinks>
    <hyperlink ref="B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3"/>
  <sheetViews>
    <sheetView zoomScale="60" zoomScaleNormal="60" workbookViewId="0"/>
  </sheetViews>
  <sheetFormatPr baseColWidth="10" defaultColWidth="11.453125" defaultRowHeight="14" x14ac:dyDescent="0.3"/>
  <cols>
    <col min="1" max="16384" width="11.453125" style="11"/>
  </cols>
  <sheetData>
    <row r="3" spans="1:21" x14ac:dyDescent="0.3">
      <c r="A3" s="59"/>
    </row>
    <row r="5" spans="1:21" x14ac:dyDescent="0.3">
      <c r="U5" s="52" t="s">
        <v>146</v>
      </c>
    </row>
    <row r="6" spans="1:21" ht="14.5" thickBot="1" x14ac:dyDescent="0.35"/>
    <row r="7" spans="1:21" ht="17.399999999999999" customHeight="1" x14ac:dyDescent="0.3">
      <c r="A7" s="65" t="s">
        <v>119</v>
      </c>
      <c r="B7" s="66"/>
      <c r="C7" s="66"/>
      <c r="D7" s="66"/>
      <c r="E7" s="66"/>
      <c r="F7" s="66"/>
      <c r="G7" s="66"/>
      <c r="H7" s="66"/>
      <c r="I7" s="66"/>
      <c r="J7" s="66"/>
      <c r="K7" s="66"/>
      <c r="L7" s="66"/>
      <c r="M7" s="66"/>
      <c r="N7" s="66"/>
      <c r="O7" s="66"/>
      <c r="P7" s="66"/>
      <c r="Q7" s="66"/>
      <c r="R7" s="66"/>
      <c r="S7" s="66"/>
      <c r="T7" s="66"/>
      <c r="U7" s="67"/>
    </row>
    <row r="8" spans="1:21" ht="17.399999999999999" customHeight="1" x14ac:dyDescent="0.3">
      <c r="A8" s="68"/>
      <c r="B8" s="69"/>
      <c r="C8" s="69"/>
      <c r="D8" s="69"/>
      <c r="E8" s="69"/>
      <c r="F8" s="69"/>
      <c r="G8" s="69"/>
      <c r="H8" s="69"/>
      <c r="I8" s="69"/>
      <c r="J8" s="69"/>
      <c r="K8" s="69"/>
      <c r="L8" s="69"/>
      <c r="M8" s="69"/>
      <c r="N8" s="69"/>
      <c r="O8" s="69"/>
      <c r="P8" s="69"/>
      <c r="Q8" s="69"/>
      <c r="R8" s="69"/>
      <c r="S8" s="69"/>
      <c r="T8" s="69"/>
      <c r="U8" s="70"/>
    </row>
    <row r="9" spans="1:21" x14ac:dyDescent="0.3">
      <c r="A9" s="25" t="s">
        <v>72</v>
      </c>
      <c r="B9" s="26"/>
      <c r="C9" s="27"/>
      <c r="D9" s="27"/>
      <c r="E9" s="27"/>
      <c r="F9" s="27"/>
      <c r="G9" s="27"/>
      <c r="H9" s="27"/>
      <c r="I9" s="27"/>
      <c r="J9" s="27"/>
      <c r="K9" s="27"/>
      <c r="L9" s="27"/>
      <c r="M9" s="27"/>
      <c r="N9" s="27"/>
      <c r="O9" s="27"/>
      <c r="P9" s="27"/>
      <c r="Q9" s="27"/>
      <c r="R9" s="27"/>
      <c r="S9" s="27"/>
      <c r="T9" s="27"/>
      <c r="U9" s="28"/>
    </row>
    <row r="10" spans="1:21" ht="12.75" customHeight="1" x14ac:dyDescent="0.3">
      <c r="A10" s="32" t="s">
        <v>122</v>
      </c>
      <c r="B10" s="30"/>
      <c r="C10" s="30"/>
      <c r="D10" s="30"/>
      <c r="E10" s="30"/>
      <c r="F10" s="30"/>
      <c r="G10" s="30"/>
      <c r="H10" s="30"/>
      <c r="I10" s="30"/>
      <c r="J10" s="30"/>
      <c r="K10" s="30"/>
      <c r="L10" s="30"/>
      <c r="M10" s="30"/>
      <c r="N10" s="30"/>
      <c r="O10" s="30"/>
      <c r="P10" s="30"/>
      <c r="Q10" s="30"/>
      <c r="R10" s="30"/>
      <c r="S10" s="30"/>
      <c r="T10" s="30"/>
      <c r="U10" s="31"/>
    </row>
    <row r="11" spans="1:21" x14ac:dyDescent="0.3">
      <c r="A11" s="44" t="s">
        <v>120</v>
      </c>
      <c r="B11" s="27"/>
      <c r="C11" s="27"/>
      <c r="D11" s="27"/>
      <c r="E11" s="27"/>
      <c r="F11" s="27"/>
      <c r="G11" s="27"/>
      <c r="H11" s="27"/>
      <c r="I11" s="27"/>
      <c r="J11" s="27"/>
      <c r="K11" s="27"/>
      <c r="L11" s="27"/>
      <c r="M11" s="27"/>
      <c r="N11" s="27"/>
      <c r="O11" s="27"/>
      <c r="P11" s="27"/>
      <c r="Q11" s="27"/>
      <c r="R11" s="27"/>
      <c r="S11" s="27"/>
      <c r="T11" s="27"/>
      <c r="U11" s="28"/>
    </row>
    <row r="12" spans="1:21" ht="12.75" customHeight="1" x14ac:dyDescent="0.3">
      <c r="A12" s="33" t="s">
        <v>121</v>
      </c>
      <c r="B12" s="30"/>
      <c r="C12" s="30"/>
      <c r="D12" s="30"/>
      <c r="E12" s="30"/>
      <c r="F12" s="30"/>
      <c r="G12" s="30"/>
      <c r="H12" s="30"/>
      <c r="I12" s="30"/>
      <c r="J12" s="30"/>
      <c r="K12" s="30"/>
      <c r="L12" s="30"/>
      <c r="M12" s="30"/>
      <c r="N12" s="30"/>
      <c r="O12" s="30"/>
      <c r="P12" s="30"/>
      <c r="Q12" s="30"/>
      <c r="R12" s="30"/>
      <c r="S12" s="30"/>
      <c r="T12" s="30"/>
      <c r="U12" s="31"/>
    </row>
    <row r="13" spans="1:21" ht="12.75" customHeight="1" x14ac:dyDescent="0.3">
      <c r="A13" s="33"/>
      <c r="B13" s="30"/>
      <c r="C13" s="30"/>
      <c r="D13" s="30"/>
      <c r="E13" s="30"/>
      <c r="F13" s="30"/>
      <c r="G13" s="30"/>
      <c r="H13" s="30"/>
      <c r="I13" s="30"/>
      <c r="J13" s="30"/>
      <c r="K13" s="30"/>
      <c r="L13" s="30"/>
      <c r="M13" s="30"/>
      <c r="N13" s="30"/>
      <c r="O13" s="30"/>
      <c r="P13" s="30"/>
      <c r="Q13" s="30"/>
      <c r="R13" s="30"/>
      <c r="S13" s="30"/>
      <c r="T13" s="30"/>
      <c r="U13" s="31"/>
    </row>
    <row r="14" spans="1:21" ht="12.75" customHeight="1" x14ac:dyDescent="0.3">
      <c r="A14" s="29"/>
      <c r="B14" s="30"/>
      <c r="C14" s="30"/>
      <c r="D14" s="30"/>
      <c r="E14" s="30"/>
      <c r="F14" s="30"/>
      <c r="G14" s="30"/>
      <c r="H14" s="30"/>
      <c r="I14" s="30"/>
      <c r="J14" s="30"/>
      <c r="K14" s="30"/>
      <c r="L14" s="30"/>
      <c r="M14" s="30"/>
      <c r="N14" s="30"/>
      <c r="O14" s="30"/>
      <c r="P14" s="30"/>
      <c r="Q14" s="30"/>
      <c r="R14" s="30"/>
      <c r="S14" s="30"/>
      <c r="T14" s="30"/>
      <c r="U14" s="31"/>
    </row>
    <row r="15" spans="1:21" ht="12.75" customHeight="1" x14ac:dyDescent="0.3">
      <c r="A15" s="34" t="s">
        <v>116</v>
      </c>
      <c r="B15" s="30"/>
      <c r="C15" s="30"/>
      <c r="D15" s="30"/>
      <c r="E15" s="30"/>
      <c r="F15" s="30"/>
      <c r="G15" s="30"/>
      <c r="H15" s="30"/>
      <c r="I15" s="30"/>
      <c r="J15" s="30"/>
      <c r="K15" s="30"/>
      <c r="L15" s="30"/>
      <c r="M15" s="30"/>
      <c r="N15" s="30"/>
      <c r="O15" s="30"/>
      <c r="P15" s="30"/>
      <c r="Q15" s="30"/>
      <c r="R15" s="30"/>
      <c r="S15" s="30"/>
      <c r="T15" s="30"/>
      <c r="U15" s="31"/>
    </row>
    <row r="16" spans="1:21" ht="12.75" customHeight="1" x14ac:dyDescent="0.3">
      <c r="A16" s="35" t="s">
        <v>124</v>
      </c>
      <c r="B16" s="30"/>
      <c r="C16" s="30"/>
      <c r="D16" s="30"/>
      <c r="E16" s="30"/>
      <c r="F16" s="30"/>
      <c r="G16" s="30"/>
      <c r="H16" s="30"/>
      <c r="I16" s="30"/>
      <c r="J16" s="30"/>
      <c r="K16" s="30"/>
      <c r="L16" s="30"/>
      <c r="M16" s="30"/>
      <c r="N16" s="30"/>
      <c r="O16" s="30"/>
      <c r="P16" s="30"/>
      <c r="Q16" s="30"/>
      <c r="R16" s="30"/>
      <c r="S16" s="30"/>
      <c r="T16" s="30"/>
      <c r="U16" s="31"/>
    </row>
    <row r="17" spans="1:21" ht="12.75" customHeight="1" x14ac:dyDescent="0.3">
      <c r="A17" s="35" t="s">
        <v>132</v>
      </c>
      <c r="B17" s="30"/>
      <c r="C17" s="30"/>
      <c r="D17" s="30"/>
      <c r="E17" s="30"/>
      <c r="F17" s="30"/>
      <c r="G17" s="30"/>
      <c r="H17" s="30"/>
      <c r="I17" s="30"/>
      <c r="J17" s="30"/>
      <c r="K17" s="30"/>
      <c r="L17" s="30"/>
      <c r="M17" s="30"/>
      <c r="N17" s="30"/>
      <c r="O17" s="30"/>
      <c r="P17" s="30"/>
      <c r="Q17" s="30"/>
      <c r="R17" s="30"/>
      <c r="S17" s="30"/>
      <c r="T17" s="30"/>
      <c r="U17" s="31"/>
    </row>
    <row r="18" spans="1:21" ht="12.75" customHeight="1" x14ac:dyDescent="0.3">
      <c r="A18" s="35" t="s">
        <v>133</v>
      </c>
      <c r="B18" s="30"/>
      <c r="C18" s="30"/>
      <c r="D18" s="30"/>
      <c r="E18" s="30"/>
      <c r="F18" s="30"/>
      <c r="G18" s="30"/>
      <c r="H18" s="30"/>
      <c r="I18" s="30"/>
      <c r="J18" s="30"/>
      <c r="K18" s="30"/>
      <c r="L18" s="30"/>
      <c r="M18" s="30"/>
      <c r="N18" s="30"/>
      <c r="O18" s="30"/>
      <c r="P18" s="30"/>
      <c r="Q18" s="30"/>
      <c r="R18" s="30"/>
      <c r="S18" s="30"/>
      <c r="T18" s="30"/>
      <c r="U18" s="31"/>
    </row>
    <row r="19" spans="1:21" ht="12.75" customHeight="1" x14ac:dyDescent="0.3">
      <c r="A19" s="35" t="s">
        <v>134</v>
      </c>
      <c r="B19" s="30"/>
      <c r="C19" s="30"/>
      <c r="D19" s="30"/>
      <c r="E19" s="30"/>
      <c r="F19" s="30"/>
      <c r="G19" s="30"/>
      <c r="H19" s="30"/>
      <c r="I19" s="30"/>
      <c r="J19" s="30"/>
      <c r="K19" s="30"/>
      <c r="L19" s="30"/>
      <c r="M19" s="30"/>
      <c r="N19" s="30"/>
      <c r="O19" s="30"/>
      <c r="P19" s="30"/>
      <c r="Q19" s="30"/>
      <c r="R19" s="30"/>
      <c r="S19" s="30"/>
      <c r="T19" s="30"/>
      <c r="U19" s="31"/>
    </row>
    <row r="20" spans="1:21" ht="12.75" customHeight="1" x14ac:dyDescent="0.3">
      <c r="A20" s="35" t="s">
        <v>135</v>
      </c>
      <c r="B20" s="30"/>
      <c r="C20" s="30"/>
      <c r="D20" s="30"/>
      <c r="E20" s="30"/>
      <c r="F20" s="30"/>
      <c r="G20" s="30"/>
      <c r="H20" s="30"/>
      <c r="I20" s="30"/>
      <c r="J20" s="30"/>
      <c r="K20" s="30"/>
      <c r="L20" s="30"/>
      <c r="M20" s="30"/>
      <c r="N20" s="30"/>
      <c r="O20" s="30"/>
      <c r="P20" s="30"/>
      <c r="Q20" s="30"/>
      <c r="R20" s="30"/>
      <c r="S20" s="30"/>
      <c r="T20" s="30"/>
      <c r="U20" s="31"/>
    </row>
    <row r="21" spans="1:21" ht="12.75" customHeight="1" x14ac:dyDescent="0.3">
      <c r="A21" s="33" t="s">
        <v>136</v>
      </c>
      <c r="B21" s="30"/>
      <c r="C21" s="30"/>
      <c r="D21" s="30"/>
      <c r="E21" s="30"/>
      <c r="F21" s="30"/>
      <c r="G21" s="30"/>
      <c r="H21" s="30"/>
      <c r="I21" s="30"/>
      <c r="J21" s="30"/>
      <c r="K21" s="30"/>
      <c r="L21" s="30"/>
      <c r="M21" s="30"/>
      <c r="N21" s="30"/>
      <c r="O21" s="30"/>
      <c r="P21" s="30"/>
      <c r="Q21" s="30"/>
      <c r="R21" s="30"/>
      <c r="S21" s="30"/>
      <c r="T21" s="30"/>
      <c r="U21" s="31"/>
    </row>
    <row r="22" spans="1:21" ht="12.75" customHeight="1" x14ac:dyDescent="0.3">
      <c r="A22" s="33" t="s">
        <v>125</v>
      </c>
      <c r="B22" s="30"/>
      <c r="C22" s="30"/>
      <c r="D22" s="30"/>
      <c r="E22" s="30"/>
      <c r="F22" s="30"/>
      <c r="G22" s="30"/>
      <c r="H22" s="30"/>
      <c r="I22" s="30"/>
      <c r="J22" s="30"/>
      <c r="K22" s="30"/>
      <c r="L22" s="30"/>
      <c r="M22" s="30"/>
      <c r="N22" s="30"/>
      <c r="O22" s="30"/>
      <c r="P22" s="30"/>
      <c r="Q22" s="30"/>
      <c r="R22" s="30"/>
      <c r="S22" s="30"/>
      <c r="T22" s="30"/>
      <c r="U22" s="31"/>
    </row>
    <row r="23" spans="1:21" ht="12.75" customHeight="1" x14ac:dyDescent="0.3">
      <c r="A23" s="33"/>
      <c r="B23" s="30"/>
      <c r="C23" s="30"/>
      <c r="D23" s="30"/>
      <c r="E23" s="30"/>
      <c r="F23" s="30"/>
      <c r="G23" s="30"/>
      <c r="H23" s="30"/>
      <c r="I23" s="30"/>
      <c r="J23" s="30"/>
      <c r="K23" s="30"/>
      <c r="L23" s="30"/>
      <c r="M23" s="30"/>
      <c r="N23" s="30"/>
      <c r="O23" s="30"/>
      <c r="P23" s="30"/>
      <c r="Q23" s="30"/>
      <c r="R23" s="30"/>
      <c r="S23" s="30"/>
      <c r="T23" s="30"/>
      <c r="U23" s="31"/>
    </row>
    <row r="24" spans="1:21" ht="12.75" customHeight="1" x14ac:dyDescent="0.3">
      <c r="A24" s="33"/>
      <c r="B24" s="30"/>
      <c r="C24" s="30"/>
      <c r="D24" s="30"/>
      <c r="E24" s="30"/>
      <c r="F24" s="30"/>
      <c r="G24" s="30"/>
      <c r="H24" s="30"/>
      <c r="I24" s="30"/>
      <c r="J24" s="30"/>
      <c r="K24" s="30"/>
      <c r="L24" s="30"/>
      <c r="M24" s="30"/>
      <c r="N24" s="30"/>
      <c r="O24" s="30"/>
      <c r="P24" s="30"/>
      <c r="Q24" s="30"/>
      <c r="R24" s="30"/>
      <c r="S24" s="30"/>
      <c r="T24" s="30"/>
      <c r="U24" s="31"/>
    </row>
    <row r="25" spans="1:21" ht="12.75" customHeight="1" x14ac:dyDescent="0.3">
      <c r="A25" s="34" t="s">
        <v>117</v>
      </c>
      <c r="B25" s="30"/>
      <c r="C25" s="30"/>
      <c r="D25" s="30"/>
      <c r="E25" s="30"/>
      <c r="F25" s="30"/>
      <c r="G25" s="30"/>
      <c r="H25" s="30"/>
      <c r="I25" s="30"/>
      <c r="J25" s="30"/>
      <c r="K25" s="30"/>
      <c r="L25" s="30"/>
      <c r="M25" s="30"/>
      <c r="N25" s="30"/>
      <c r="O25" s="30"/>
      <c r="P25" s="30"/>
      <c r="Q25" s="30"/>
      <c r="R25" s="30"/>
      <c r="S25" s="30"/>
      <c r="T25" s="30"/>
      <c r="U25" s="31"/>
    </row>
    <row r="26" spans="1:21" ht="12.75" customHeight="1" x14ac:dyDescent="0.3">
      <c r="A26" s="33" t="s">
        <v>126</v>
      </c>
      <c r="B26" s="30"/>
      <c r="C26" s="30"/>
      <c r="D26" s="30"/>
      <c r="E26" s="30"/>
      <c r="F26" s="30"/>
      <c r="G26" s="30"/>
      <c r="H26" s="30"/>
      <c r="I26" s="30"/>
      <c r="J26" s="30"/>
      <c r="K26" s="30"/>
      <c r="L26" s="30"/>
      <c r="M26" s="30"/>
      <c r="N26" s="30"/>
      <c r="O26" s="30"/>
      <c r="P26" s="30"/>
      <c r="Q26" s="30"/>
      <c r="R26" s="30"/>
      <c r="S26" s="30"/>
      <c r="T26" s="30"/>
      <c r="U26" s="31"/>
    </row>
    <row r="27" spans="1:21" ht="12.75" customHeight="1" x14ac:dyDescent="0.3">
      <c r="A27" s="33" t="s">
        <v>127</v>
      </c>
      <c r="B27" s="30"/>
      <c r="C27" s="30"/>
      <c r="D27" s="30"/>
      <c r="E27" s="30"/>
      <c r="F27" s="30"/>
      <c r="G27" s="30"/>
      <c r="H27" s="30"/>
      <c r="I27" s="30"/>
      <c r="J27" s="30"/>
      <c r="K27" s="30"/>
      <c r="L27" s="30"/>
      <c r="M27" s="30"/>
      <c r="N27" s="30"/>
      <c r="O27" s="30"/>
      <c r="P27" s="30"/>
      <c r="Q27" s="30"/>
      <c r="R27" s="30"/>
      <c r="S27" s="30"/>
      <c r="T27" s="30"/>
      <c r="U27" s="31"/>
    </row>
    <row r="28" spans="1:21" ht="12.75" customHeight="1" x14ac:dyDescent="0.3">
      <c r="A28" s="33" t="s">
        <v>128</v>
      </c>
      <c r="B28" s="30"/>
      <c r="C28" s="30"/>
      <c r="D28" s="30"/>
      <c r="E28" s="30"/>
      <c r="F28" s="30"/>
      <c r="G28" s="30"/>
      <c r="H28" s="30"/>
      <c r="I28" s="30"/>
      <c r="J28" s="30"/>
      <c r="K28" s="30"/>
      <c r="L28" s="30"/>
      <c r="M28" s="30"/>
      <c r="N28" s="30"/>
      <c r="O28" s="30"/>
      <c r="P28" s="30"/>
      <c r="Q28" s="30"/>
      <c r="R28" s="30"/>
      <c r="S28" s="30"/>
      <c r="T28" s="30"/>
      <c r="U28" s="31"/>
    </row>
    <row r="29" spans="1:21" ht="12.75" customHeight="1" x14ac:dyDescent="0.3">
      <c r="A29" s="33" t="s">
        <v>129</v>
      </c>
      <c r="B29" s="30"/>
      <c r="C29" s="30"/>
      <c r="D29" s="30"/>
      <c r="E29" s="30"/>
      <c r="F29" s="30"/>
      <c r="G29" s="30"/>
      <c r="H29" s="30"/>
      <c r="I29" s="30"/>
      <c r="J29" s="30"/>
      <c r="K29" s="30"/>
      <c r="L29" s="30"/>
      <c r="M29" s="30"/>
      <c r="N29" s="30"/>
      <c r="O29" s="30"/>
      <c r="P29" s="30"/>
      <c r="Q29" s="30"/>
      <c r="R29" s="30"/>
      <c r="S29" s="30"/>
      <c r="T29" s="30"/>
      <c r="U29" s="31"/>
    </row>
    <row r="30" spans="1:21" ht="12.75" customHeight="1" x14ac:dyDescent="0.3">
      <c r="A30" s="33" t="s">
        <v>130</v>
      </c>
      <c r="B30" s="30"/>
      <c r="C30" s="30"/>
      <c r="D30" s="30"/>
      <c r="E30" s="30"/>
      <c r="F30" s="30"/>
      <c r="G30" s="30"/>
      <c r="H30" s="30"/>
      <c r="I30" s="30"/>
      <c r="J30" s="30"/>
      <c r="K30" s="30"/>
      <c r="L30" s="30"/>
      <c r="M30" s="30"/>
      <c r="N30" s="30"/>
      <c r="O30" s="30"/>
      <c r="P30" s="30"/>
      <c r="Q30" s="30"/>
      <c r="R30" s="30"/>
      <c r="S30" s="30"/>
      <c r="T30" s="30"/>
      <c r="U30" s="31"/>
    </row>
    <row r="31" spans="1:21" ht="12.75" customHeight="1" x14ac:dyDescent="0.3">
      <c r="A31" s="33" t="s">
        <v>131</v>
      </c>
      <c r="B31" s="30"/>
      <c r="C31" s="30"/>
      <c r="D31" s="30"/>
      <c r="E31" s="30"/>
      <c r="F31" s="30"/>
      <c r="G31" s="30"/>
      <c r="H31" s="30"/>
      <c r="I31" s="30"/>
      <c r="J31" s="30"/>
      <c r="K31" s="30"/>
      <c r="L31" s="30"/>
      <c r="M31" s="30"/>
      <c r="N31" s="30"/>
      <c r="O31" s="30"/>
      <c r="P31" s="30"/>
      <c r="Q31" s="30"/>
      <c r="R31" s="30"/>
      <c r="S31" s="30"/>
      <c r="T31" s="30"/>
      <c r="U31" s="31"/>
    </row>
    <row r="32" spans="1:21" ht="12.75" customHeight="1" x14ac:dyDescent="0.3">
      <c r="A32" s="33"/>
      <c r="B32" s="30"/>
      <c r="C32" s="30"/>
      <c r="D32" s="30"/>
      <c r="E32" s="30"/>
      <c r="F32" s="30"/>
      <c r="G32" s="30"/>
      <c r="H32" s="30"/>
      <c r="I32" s="30"/>
      <c r="J32" s="30"/>
      <c r="K32" s="30"/>
      <c r="L32" s="30"/>
      <c r="M32" s="30"/>
      <c r="N32" s="30"/>
      <c r="O32" s="30"/>
      <c r="P32" s="30"/>
      <c r="Q32" s="30"/>
      <c r="R32" s="30"/>
      <c r="S32" s="30"/>
      <c r="T32" s="30"/>
      <c r="U32" s="31"/>
    </row>
    <row r="33" spans="1:21" ht="12.75" customHeight="1" x14ac:dyDescent="0.3">
      <c r="A33" s="29"/>
      <c r="B33" s="30"/>
      <c r="C33" s="30"/>
      <c r="D33" s="30"/>
      <c r="E33" s="30"/>
      <c r="F33" s="30"/>
      <c r="G33" s="30"/>
      <c r="H33" s="30"/>
      <c r="I33" s="30"/>
      <c r="J33" s="30"/>
      <c r="K33" s="30"/>
      <c r="L33" s="30"/>
      <c r="M33" s="30"/>
      <c r="N33" s="30"/>
      <c r="O33" s="30"/>
      <c r="P33" s="30"/>
      <c r="Q33" s="30"/>
      <c r="R33" s="30"/>
      <c r="S33" s="30"/>
      <c r="T33" s="30"/>
      <c r="U33" s="31"/>
    </row>
    <row r="34" spans="1:21" x14ac:dyDescent="0.3">
      <c r="A34" s="25" t="s">
        <v>73</v>
      </c>
      <c r="B34" s="27"/>
      <c r="C34" s="27"/>
      <c r="D34" s="27"/>
      <c r="E34" s="27"/>
      <c r="F34" s="27"/>
      <c r="G34" s="27"/>
      <c r="H34" s="27"/>
      <c r="I34" s="27"/>
      <c r="J34" s="27"/>
      <c r="K34" s="27"/>
      <c r="L34" s="27"/>
      <c r="M34" s="27"/>
      <c r="N34" s="27"/>
      <c r="O34" s="27"/>
      <c r="P34" s="27"/>
      <c r="Q34" s="27"/>
      <c r="R34" s="27"/>
      <c r="S34" s="27"/>
      <c r="T34" s="27"/>
      <c r="U34" s="28"/>
    </row>
    <row r="35" spans="1:21" ht="12.75" customHeight="1" x14ac:dyDescent="0.3">
      <c r="A35" s="43" t="s">
        <v>137</v>
      </c>
      <c r="B35" s="36"/>
      <c r="C35" s="36"/>
      <c r="D35" s="36"/>
      <c r="E35" s="36"/>
      <c r="F35" s="36"/>
      <c r="G35" s="36"/>
      <c r="H35" s="36"/>
      <c r="I35" s="36"/>
      <c r="J35" s="36"/>
      <c r="K35" s="36"/>
      <c r="L35" s="36"/>
      <c r="M35" s="36"/>
      <c r="N35" s="36"/>
      <c r="O35" s="36"/>
      <c r="P35" s="36"/>
      <c r="Q35" s="36"/>
      <c r="R35" s="36"/>
      <c r="S35" s="36"/>
      <c r="T35" s="36"/>
      <c r="U35" s="37"/>
    </row>
    <row r="36" spans="1:21" ht="12.75" customHeight="1" x14ac:dyDescent="0.3">
      <c r="A36" s="43"/>
      <c r="B36" s="36"/>
      <c r="C36" s="36"/>
      <c r="D36" s="36"/>
      <c r="E36" s="36"/>
      <c r="F36" s="36"/>
      <c r="G36" s="36"/>
      <c r="H36" s="36"/>
      <c r="I36" s="36"/>
      <c r="J36" s="36"/>
      <c r="K36" s="36"/>
      <c r="L36" s="36"/>
      <c r="M36" s="36"/>
      <c r="N36" s="36"/>
      <c r="O36" s="36"/>
      <c r="P36" s="36"/>
      <c r="Q36" s="36"/>
      <c r="R36" s="36"/>
      <c r="S36" s="36"/>
      <c r="T36" s="36"/>
      <c r="U36" s="37"/>
    </row>
    <row r="37" spans="1:21" ht="12.75" customHeight="1" x14ac:dyDescent="0.3">
      <c r="A37" s="43" t="s">
        <v>142</v>
      </c>
      <c r="B37" s="36"/>
      <c r="C37" s="36"/>
      <c r="D37" s="36"/>
      <c r="E37" s="36"/>
      <c r="F37" s="36"/>
      <c r="G37" s="36"/>
      <c r="H37" s="36"/>
      <c r="I37" s="36"/>
      <c r="J37" s="36"/>
      <c r="K37" s="36"/>
      <c r="L37" s="36"/>
      <c r="M37" s="36"/>
      <c r="N37" s="36"/>
      <c r="O37" s="36"/>
      <c r="P37" s="36"/>
      <c r="Q37" s="36"/>
      <c r="R37" s="36"/>
      <c r="S37" s="36"/>
      <c r="T37" s="36"/>
      <c r="U37" s="37"/>
    </row>
    <row r="38" spans="1:21" ht="12.75" customHeight="1" x14ac:dyDescent="0.3">
      <c r="A38" s="43" t="s">
        <v>141</v>
      </c>
      <c r="B38" s="36"/>
      <c r="C38" s="36"/>
      <c r="D38" s="36"/>
      <c r="E38" s="36"/>
      <c r="F38" s="36"/>
      <c r="G38" s="36"/>
      <c r="H38" s="36"/>
      <c r="I38" s="36"/>
      <c r="J38" s="36"/>
      <c r="K38" s="36"/>
      <c r="L38" s="36"/>
      <c r="M38" s="36"/>
      <c r="N38" s="36"/>
      <c r="O38" s="36"/>
      <c r="P38" s="36"/>
      <c r="Q38" s="36"/>
      <c r="R38" s="36"/>
      <c r="S38" s="36"/>
      <c r="T38" s="36"/>
      <c r="U38" s="37"/>
    </row>
    <row r="39" spans="1:21" ht="12.75" customHeight="1" x14ac:dyDescent="0.3">
      <c r="A39" s="43" t="s">
        <v>138</v>
      </c>
      <c r="B39" s="36"/>
      <c r="C39" s="36"/>
      <c r="D39" s="36"/>
      <c r="E39" s="36"/>
      <c r="F39" s="36"/>
      <c r="G39" s="36"/>
      <c r="H39" s="36"/>
      <c r="I39" s="36"/>
      <c r="J39" s="36"/>
      <c r="K39" s="36"/>
      <c r="L39" s="36"/>
      <c r="M39" s="36"/>
      <c r="N39" s="36"/>
      <c r="O39" s="36"/>
      <c r="P39" s="36"/>
      <c r="Q39" s="36"/>
      <c r="R39" s="36"/>
      <c r="S39" s="36"/>
      <c r="T39" s="36"/>
      <c r="U39" s="37"/>
    </row>
    <row r="40" spans="1:21" ht="12.75" customHeight="1" x14ac:dyDescent="0.3">
      <c r="A40" s="71" t="s">
        <v>139</v>
      </c>
      <c r="B40" s="72"/>
      <c r="C40" s="72"/>
      <c r="D40" s="72"/>
      <c r="E40" s="72"/>
      <c r="F40" s="72"/>
      <c r="G40" s="72"/>
      <c r="H40" s="72"/>
      <c r="I40" s="72"/>
      <c r="J40" s="72"/>
      <c r="K40" s="72"/>
      <c r="L40" s="72"/>
      <c r="M40" s="72"/>
      <c r="N40" s="72"/>
      <c r="O40" s="72"/>
      <c r="P40" s="72"/>
      <c r="Q40" s="72"/>
      <c r="R40" s="72"/>
      <c r="S40" s="72"/>
      <c r="T40" s="72"/>
      <c r="U40" s="73"/>
    </row>
    <row r="41" spans="1:21" ht="12.75" customHeight="1" x14ac:dyDescent="0.3">
      <c r="A41" s="74"/>
      <c r="B41" s="72"/>
      <c r="C41" s="72"/>
      <c r="D41" s="72"/>
      <c r="E41" s="72"/>
      <c r="F41" s="72"/>
      <c r="G41" s="72"/>
      <c r="H41" s="72"/>
      <c r="I41" s="72"/>
      <c r="J41" s="72"/>
      <c r="K41" s="72"/>
      <c r="L41" s="72"/>
      <c r="M41" s="72"/>
      <c r="N41" s="72"/>
      <c r="O41" s="72"/>
      <c r="P41" s="72"/>
      <c r="Q41" s="72"/>
      <c r="R41" s="72"/>
      <c r="S41" s="72"/>
      <c r="T41" s="72"/>
      <c r="U41" s="73"/>
    </row>
    <row r="42" spans="1:21" ht="12.75" customHeight="1" x14ac:dyDescent="0.3">
      <c r="A42" s="74"/>
      <c r="B42" s="72"/>
      <c r="C42" s="72"/>
      <c r="D42" s="72"/>
      <c r="E42" s="72"/>
      <c r="F42" s="72"/>
      <c r="G42" s="72"/>
      <c r="H42" s="72"/>
      <c r="I42" s="72"/>
      <c r="J42" s="72"/>
      <c r="K42" s="72"/>
      <c r="L42" s="72"/>
      <c r="M42" s="72"/>
      <c r="N42" s="72"/>
      <c r="O42" s="72"/>
      <c r="P42" s="72"/>
      <c r="Q42" s="72"/>
      <c r="R42" s="72"/>
      <c r="S42" s="72"/>
      <c r="T42" s="72"/>
      <c r="U42" s="73"/>
    </row>
    <row r="43" spans="1:21" ht="12.75" customHeight="1" x14ac:dyDescent="0.3">
      <c r="A43" s="43" t="s">
        <v>140</v>
      </c>
      <c r="B43" s="36"/>
      <c r="C43" s="36"/>
      <c r="D43" s="36"/>
      <c r="E43" s="36"/>
      <c r="F43" s="36"/>
      <c r="G43" s="36"/>
      <c r="H43" s="36"/>
      <c r="I43" s="36"/>
      <c r="J43" s="36"/>
      <c r="K43" s="36"/>
      <c r="L43" s="36"/>
      <c r="M43" s="36"/>
      <c r="N43" s="36"/>
      <c r="O43" s="36"/>
      <c r="P43" s="36"/>
      <c r="Q43" s="36"/>
      <c r="R43" s="36"/>
      <c r="S43" s="36"/>
      <c r="T43" s="36"/>
      <c r="U43" s="37"/>
    </row>
    <row r="44" spans="1:21" ht="12.75" customHeight="1" thickBot="1" x14ac:dyDescent="0.35">
      <c r="A44" s="38"/>
      <c r="B44" s="39"/>
      <c r="C44" s="39"/>
      <c r="D44" s="39"/>
      <c r="E44" s="39"/>
      <c r="F44" s="39"/>
      <c r="G44" s="39"/>
      <c r="H44" s="39"/>
      <c r="I44" s="39"/>
      <c r="J44" s="39"/>
      <c r="K44" s="39"/>
      <c r="L44" s="39"/>
      <c r="M44" s="39"/>
      <c r="N44" s="39"/>
      <c r="O44" s="39"/>
      <c r="P44" s="39"/>
      <c r="Q44" s="39"/>
      <c r="R44" s="39"/>
      <c r="S44" s="39"/>
      <c r="T44" s="39"/>
      <c r="U44" s="40"/>
    </row>
    <row r="45" spans="1:21" ht="12.75" customHeight="1" x14ac:dyDescent="0.3">
      <c r="B45" s="10"/>
      <c r="C45" s="10"/>
      <c r="D45" s="10"/>
      <c r="E45" s="10"/>
      <c r="F45" s="10"/>
      <c r="G45" s="10"/>
      <c r="H45" s="10"/>
      <c r="I45" s="10"/>
      <c r="J45" s="10"/>
      <c r="K45" s="10"/>
      <c r="L45" s="10"/>
      <c r="M45" s="10"/>
      <c r="N45" s="10"/>
      <c r="O45" s="10"/>
      <c r="P45" s="10"/>
      <c r="Q45" s="10"/>
      <c r="R45" s="10"/>
      <c r="S45" s="10"/>
      <c r="T45" s="10"/>
      <c r="U45" s="10"/>
    </row>
    <row r="46" spans="1:21" ht="12.75" customHeight="1" x14ac:dyDescent="0.3">
      <c r="B46" s="10"/>
      <c r="C46" s="10"/>
      <c r="D46" s="10"/>
      <c r="E46" s="10"/>
      <c r="F46" s="10"/>
      <c r="G46" s="10"/>
      <c r="H46" s="10"/>
      <c r="I46" s="10"/>
      <c r="J46" s="10"/>
      <c r="K46" s="10"/>
      <c r="L46" s="10"/>
      <c r="M46" s="10"/>
      <c r="N46" s="10"/>
      <c r="O46" s="10"/>
      <c r="P46" s="10"/>
      <c r="Q46" s="10"/>
      <c r="R46" s="10"/>
      <c r="S46" s="10"/>
      <c r="T46" s="10"/>
      <c r="U46" s="10"/>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ht="18" customHeight="1" x14ac:dyDescent="0.3">
      <c r="A49" s="12"/>
      <c r="B49" s="12"/>
      <c r="C49" s="12"/>
      <c r="D49" s="12"/>
      <c r="E49" s="12"/>
      <c r="F49" s="12"/>
      <c r="G49" s="12"/>
      <c r="H49" s="12"/>
      <c r="I49" s="12"/>
      <c r="J49" s="12"/>
      <c r="K49" s="12"/>
      <c r="L49" s="12"/>
      <c r="M49" s="12"/>
      <c r="N49" s="12"/>
      <c r="O49" s="12"/>
      <c r="P49" s="12"/>
      <c r="Q49" s="12"/>
      <c r="R49" s="12"/>
      <c r="S49" s="12"/>
      <c r="T49" s="12"/>
      <c r="U49" s="12"/>
    </row>
    <row r="50" spans="1:21" ht="15.75" customHeight="1" x14ac:dyDescent="0.3">
      <c r="A50" s="12"/>
      <c r="B50" s="12"/>
      <c r="C50" s="12"/>
      <c r="D50" s="12"/>
      <c r="E50" s="12"/>
      <c r="F50" s="12"/>
      <c r="G50" s="12"/>
      <c r="H50" s="12"/>
      <c r="I50" s="12"/>
      <c r="J50" s="12"/>
      <c r="K50" s="12"/>
      <c r="L50" s="12"/>
      <c r="M50" s="12"/>
      <c r="N50" s="12"/>
      <c r="O50" s="12"/>
      <c r="P50" s="12"/>
      <c r="Q50" s="12"/>
      <c r="R50" s="12"/>
      <c r="S50" s="12"/>
      <c r="T50" s="12"/>
      <c r="U50" s="12"/>
    </row>
    <row r="51" spans="1:21" ht="14.25" customHeight="1" x14ac:dyDescent="0.3">
      <c r="A51" s="12"/>
      <c r="B51" s="12"/>
      <c r="C51" s="12"/>
      <c r="D51" s="12"/>
      <c r="E51" s="12"/>
      <c r="F51" s="12"/>
      <c r="G51" s="12"/>
      <c r="H51" s="12"/>
      <c r="I51" s="12"/>
      <c r="J51" s="12"/>
      <c r="K51" s="12"/>
      <c r="L51" s="12"/>
      <c r="M51" s="12"/>
      <c r="N51" s="12"/>
      <c r="O51" s="12"/>
      <c r="P51" s="12"/>
      <c r="Q51" s="12"/>
      <c r="R51" s="12"/>
      <c r="S51" s="12"/>
      <c r="T51" s="12"/>
      <c r="U51" s="12"/>
    </row>
    <row r="52" spans="1:21" ht="14.25" customHeight="1" x14ac:dyDescent="0.3">
      <c r="A52" s="12"/>
      <c r="B52" s="12"/>
      <c r="C52" s="12"/>
      <c r="D52" s="12"/>
      <c r="E52" s="12"/>
      <c r="F52" s="12"/>
      <c r="G52" s="12"/>
      <c r="H52" s="12"/>
      <c r="I52" s="12"/>
      <c r="J52" s="12"/>
      <c r="K52" s="12"/>
      <c r="L52" s="12"/>
      <c r="M52" s="12"/>
      <c r="N52" s="12"/>
      <c r="O52" s="12"/>
      <c r="P52" s="12"/>
      <c r="Q52" s="12"/>
      <c r="R52" s="12"/>
      <c r="S52" s="12"/>
      <c r="T52" s="12"/>
      <c r="U52" s="12"/>
    </row>
    <row r="53" spans="1:21" ht="14.25" customHeight="1" x14ac:dyDescent="0.3">
      <c r="A53" s="12"/>
      <c r="B53" s="12"/>
      <c r="C53" s="12"/>
      <c r="D53" s="12"/>
      <c r="E53" s="12"/>
      <c r="F53" s="12"/>
      <c r="G53" s="12"/>
      <c r="H53" s="12"/>
      <c r="I53" s="12"/>
      <c r="J53" s="12"/>
      <c r="K53" s="12"/>
      <c r="L53" s="12"/>
      <c r="M53" s="12"/>
      <c r="N53" s="12"/>
      <c r="O53" s="12"/>
      <c r="P53" s="12"/>
      <c r="Q53" s="12"/>
      <c r="R53" s="12"/>
      <c r="S53" s="12"/>
      <c r="T53" s="12"/>
      <c r="U53" s="12"/>
    </row>
    <row r="54" spans="1:21" ht="14.25" customHeight="1" x14ac:dyDescent="0.3">
      <c r="A54" s="12"/>
      <c r="B54" s="12"/>
      <c r="C54" s="12"/>
      <c r="D54" s="12"/>
      <c r="E54" s="12"/>
      <c r="F54" s="12"/>
      <c r="G54" s="12"/>
      <c r="H54" s="12"/>
      <c r="I54" s="12"/>
      <c r="J54" s="12"/>
      <c r="K54" s="12"/>
      <c r="L54" s="12"/>
      <c r="M54" s="12"/>
      <c r="N54" s="12"/>
      <c r="O54" s="12"/>
      <c r="P54" s="12"/>
      <c r="Q54" s="12"/>
      <c r="R54" s="12"/>
      <c r="S54" s="12"/>
      <c r="T54" s="12"/>
      <c r="U54" s="12"/>
    </row>
    <row r="55" spans="1:21" ht="14.25" customHeight="1" x14ac:dyDescent="0.3">
      <c r="A55" s="12"/>
      <c r="B55" s="12"/>
      <c r="C55" s="12"/>
      <c r="D55" s="12"/>
      <c r="E55" s="12"/>
      <c r="F55" s="12"/>
      <c r="G55" s="12"/>
      <c r="H55" s="12"/>
      <c r="I55" s="12"/>
      <c r="J55" s="12"/>
      <c r="K55" s="12"/>
      <c r="L55" s="12"/>
      <c r="M55" s="12"/>
      <c r="N55" s="12"/>
      <c r="O55" s="12"/>
      <c r="P55" s="12"/>
      <c r="Q55" s="12"/>
      <c r="R55" s="12"/>
      <c r="S55" s="12"/>
      <c r="T55" s="12"/>
      <c r="U55" s="12"/>
    </row>
    <row r="56" spans="1:21" ht="14.25" customHeight="1" x14ac:dyDescent="0.3">
      <c r="A56" s="12"/>
      <c r="B56" s="12"/>
      <c r="C56" s="12"/>
      <c r="D56" s="12"/>
      <c r="E56" s="12"/>
      <c r="F56" s="12"/>
      <c r="G56" s="12"/>
      <c r="H56" s="12"/>
      <c r="I56" s="12"/>
      <c r="J56" s="12"/>
      <c r="K56" s="12"/>
      <c r="L56" s="12"/>
      <c r="M56" s="12"/>
      <c r="N56" s="12"/>
      <c r="O56" s="12"/>
      <c r="P56" s="12"/>
      <c r="Q56" s="12"/>
      <c r="R56" s="12"/>
      <c r="S56" s="12"/>
      <c r="T56" s="12"/>
      <c r="U56" s="12"/>
    </row>
    <row r="57" spans="1:21" ht="14.25" customHeight="1" x14ac:dyDescent="0.3">
      <c r="A57" s="12"/>
      <c r="B57" s="12"/>
      <c r="C57" s="12"/>
      <c r="D57" s="12"/>
      <c r="E57" s="12"/>
      <c r="F57" s="12"/>
      <c r="G57" s="12"/>
      <c r="H57" s="12"/>
      <c r="I57" s="12"/>
      <c r="J57" s="12"/>
      <c r="K57" s="12"/>
      <c r="L57" s="12"/>
      <c r="M57" s="12"/>
      <c r="N57" s="12"/>
      <c r="O57" s="12"/>
      <c r="P57" s="12"/>
      <c r="Q57" s="12"/>
      <c r="R57" s="12"/>
      <c r="S57" s="12"/>
      <c r="T57" s="12"/>
      <c r="U57" s="12"/>
    </row>
    <row r="58" spans="1:21" ht="14.25" customHeight="1" x14ac:dyDescent="0.3">
      <c r="A58" s="12"/>
      <c r="B58" s="12"/>
      <c r="C58" s="12"/>
      <c r="D58" s="12"/>
      <c r="E58" s="12"/>
      <c r="F58" s="12"/>
      <c r="G58" s="12"/>
      <c r="H58" s="12"/>
      <c r="I58" s="12"/>
      <c r="J58" s="12"/>
      <c r="K58" s="12"/>
      <c r="L58" s="12"/>
      <c r="M58" s="12"/>
      <c r="N58" s="12"/>
      <c r="O58" s="12"/>
      <c r="P58" s="12"/>
      <c r="Q58" s="12"/>
      <c r="R58" s="12"/>
      <c r="S58" s="12"/>
      <c r="T58" s="12"/>
      <c r="U58" s="12"/>
    </row>
    <row r="59" spans="1:21" ht="15.75" customHeight="1" x14ac:dyDescent="0.3">
      <c r="A59" s="12"/>
      <c r="B59" s="12"/>
      <c r="C59" s="12"/>
      <c r="D59" s="12"/>
      <c r="E59" s="12"/>
      <c r="F59" s="12"/>
      <c r="G59" s="12"/>
      <c r="H59" s="12"/>
      <c r="I59" s="12"/>
      <c r="J59" s="12"/>
      <c r="K59" s="12"/>
      <c r="L59" s="12"/>
      <c r="M59" s="12"/>
      <c r="N59" s="12"/>
      <c r="O59" s="12"/>
      <c r="P59" s="12"/>
      <c r="Q59" s="12"/>
      <c r="R59" s="12"/>
      <c r="S59" s="12"/>
      <c r="T59" s="12"/>
      <c r="U59" s="12"/>
    </row>
    <row r="60" spans="1:21" ht="14.25" customHeight="1" x14ac:dyDescent="0.3">
      <c r="A60" s="12"/>
      <c r="B60" s="12"/>
      <c r="C60" s="12"/>
      <c r="D60" s="12"/>
      <c r="E60" s="12"/>
      <c r="F60" s="12"/>
      <c r="G60" s="12"/>
      <c r="H60" s="12"/>
      <c r="I60" s="12"/>
      <c r="J60" s="12"/>
      <c r="K60" s="12"/>
      <c r="L60" s="12"/>
      <c r="M60" s="12"/>
      <c r="N60" s="12"/>
      <c r="O60" s="12"/>
      <c r="P60" s="12"/>
      <c r="Q60" s="12"/>
      <c r="R60" s="12"/>
      <c r="S60" s="12"/>
      <c r="T60" s="12"/>
      <c r="U60" s="12"/>
    </row>
    <row r="61" spans="1:21" ht="12.75" customHeight="1" x14ac:dyDescent="0.3">
      <c r="A61" s="12"/>
      <c r="B61" s="12"/>
      <c r="C61" s="12"/>
      <c r="D61" s="12"/>
      <c r="E61" s="12"/>
      <c r="F61" s="12"/>
      <c r="G61" s="12"/>
      <c r="H61" s="12"/>
      <c r="I61" s="12"/>
      <c r="J61" s="12"/>
      <c r="K61" s="12"/>
      <c r="L61" s="12"/>
      <c r="M61" s="12"/>
      <c r="N61" s="12"/>
      <c r="O61" s="12"/>
      <c r="P61" s="12"/>
      <c r="Q61" s="12"/>
      <c r="R61" s="12"/>
      <c r="S61" s="12"/>
      <c r="T61" s="12"/>
      <c r="U61" s="12"/>
    </row>
    <row r="62" spans="1:21" ht="12.75" customHeight="1" x14ac:dyDescent="0.3">
      <c r="A62" s="12"/>
      <c r="B62" s="12"/>
      <c r="C62" s="12"/>
      <c r="D62" s="12"/>
      <c r="E62" s="12"/>
      <c r="F62" s="12"/>
      <c r="G62" s="12"/>
      <c r="H62" s="12"/>
      <c r="I62" s="12"/>
      <c r="J62" s="12"/>
      <c r="K62" s="12"/>
      <c r="L62" s="12"/>
      <c r="M62" s="12"/>
      <c r="N62" s="12"/>
      <c r="O62" s="12"/>
      <c r="P62" s="12"/>
      <c r="Q62" s="12"/>
      <c r="R62" s="12"/>
      <c r="S62" s="12"/>
      <c r="T62" s="12"/>
      <c r="U62" s="12"/>
    </row>
    <row r="63" spans="1:21" ht="14.25" customHeight="1" x14ac:dyDescent="0.3">
      <c r="A63" s="12"/>
      <c r="B63" s="12"/>
      <c r="C63" s="12"/>
      <c r="D63" s="12"/>
      <c r="E63" s="12"/>
      <c r="F63" s="12"/>
      <c r="G63" s="12"/>
      <c r="H63" s="12"/>
      <c r="I63" s="12"/>
      <c r="J63" s="12"/>
      <c r="K63" s="12"/>
      <c r="L63" s="12"/>
      <c r="M63" s="12"/>
      <c r="N63" s="12"/>
      <c r="O63" s="12"/>
      <c r="P63" s="12"/>
      <c r="Q63" s="12"/>
      <c r="R63" s="12"/>
      <c r="S63" s="12"/>
      <c r="T63" s="12"/>
      <c r="U63" s="12"/>
    </row>
  </sheetData>
  <mergeCells count="2">
    <mergeCell ref="A7:U8"/>
    <mergeCell ref="A40:U42"/>
  </mergeCells>
  <hyperlinks>
    <hyperlink ref="A40" display="https://www.statistics.gr/en/statistics?p_p_id=documents_WAR_publicationsportlet_INSTANCE_0qObWqzRnXSG&amp;p_p_lifecycle=2&amp;p_p_state=normal&amp;p_p_mode=view&amp;p_p_cacheability=cacheLevelPage&amp;p_p_col_id=column-1&amp;p_p_col_count=4&amp;p_p_col_pos=1&amp;_documents_WAR_publicat"/>
    <hyperlink ref="A11" r:id="rId1"/>
    <hyperlink ref="U5"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contents</vt:lpstr>
      <vt:lpstr>input data</vt:lpstr>
      <vt:lpstr>metadata - variables input data</vt:lpstr>
      <vt:lpstr>metadata - sources &amp;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TORRES Catalina</cp:lastModifiedBy>
  <dcterms:created xsi:type="dcterms:W3CDTF">2020-07-21T14:58:51Z</dcterms:created>
  <dcterms:modified xsi:type="dcterms:W3CDTF">2021-09-23T14:17:03Z</dcterms:modified>
</cp:coreProperties>
</file>