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PROJET JUMEAUX INED-MNHM\DATABASE\RAW DATA &amp; METADATA\USA\"/>
    </mc:Choice>
  </mc:AlternateContent>
  <bookViews>
    <workbookView xWindow="-110" yWindow="-110" windowWidth="14880" windowHeight="7140"/>
  </bookViews>
  <sheets>
    <sheet name="contents" sheetId="11" r:id="rId1"/>
    <sheet name="input data" sheetId="13" r:id="rId2"/>
    <sheet name="variables input data" sheetId="10" r:id="rId3"/>
    <sheet name="supplements" sheetId="12" r:id="rId4"/>
  </sheets>
  <definedNames>
    <definedName name="_xlnm._FilterDatabase" localSheetId="1" hidden="1">'input data'!$A$1:$R$176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175" i="13" l="1"/>
  <c r="I175" i="13"/>
  <c r="G175" i="13"/>
  <c r="E175" i="13"/>
  <c r="O173" i="13"/>
  <c r="I173" i="13"/>
  <c r="G173" i="13"/>
  <c r="E173" i="13"/>
  <c r="O166" i="13"/>
  <c r="I166" i="13"/>
  <c r="G166" i="13"/>
  <c r="E166" i="13"/>
  <c r="O158" i="13"/>
  <c r="I158" i="13"/>
  <c r="G158" i="13"/>
  <c r="E158" i="13"/>
  <c r="O156" i="13"/>
  <c r="I156" i="13"/>
  <c r="G156" i="13"/>
  <c r="E156" i="13"/>
  <c r="O154" i="13"/>
  <c r="I154" i="13"/>
  <c r="I152" i="13"/>
  <c r="G154" i="13"/>
  <c r="E154" i="13"/>
  <c r="G152" i="13"/>
  <c r="E152" i="13"/>
  <c r="O152" i="13"/>
  <c r="O141" i="13"/>
  <c r="I141" i="13"/>
  <c r="G141" i="13"/>
  <c r="E141" i="13"/>
  <c r="O139" i="13"/>
  <c r="I139" i="13"/>
  <c r="G139" i="13"/>
  <c r="E139" i="13"/>
  <c r="O137" i="13"/>
  <c r="I137" i="13"/>
  <c r="G137" i="13"/>
  <c r="E137" i="13"/>
  <c r="I135" i="13"/>
  <c r="O135" i="13"/>
  <c r="G135" i="13"/>
  <c r="E135" i="13"/>
  <c r="O133" i="13"/>
  <c r="I133" i="13"/>
  <c r="G133" i="13"/>
  <c r="E133" i="13"/>
  <c r="O131" i="13" l="1"/>
  <c r="I131" i="13"/>
  <c r="G131" i="13"/>
  <c r="E131" i="13"/>
  <c r="O129" i="13"/>
  <c r="I129" i="13"/>
  <c r="G129" i="13"/>
  <c r="E129" i="13"/>
  <c r="O127" i="13"/>
  <c r="I127" i="13"/>
  <c r="G127" i="13"/>
  <c r="E127" i="13"/>
  <c r="O125" i="13"/>
  <c r="I125" i="13"/>
  <c r="G125" i="13"/>
  <c r="E125" i="13"/>
  <c r="O123" i="13"/>
  <c r="I123" i="13"/>
  <c r="G123" i="13"/>
  <c r="E123" i="13"/>
  <c r="O121" i="13"/>
  <c r="I121" i="13"/>
  <c r="G121" i="13"/>
  <c r="E121" i="13"/>
  <c r="O119" i="13"/>
  <c r="I119" i="13"/>
  <c r="G119" i="13"/>
  <c r="E119" i="13"/>
  <c r="O117" i="13"/>
  <c r="I117" i="13"/>
  <c r="G117" i="13"/>
  <c r="E117" i="13"/>
  <c r="O115" i="13"/>
  <c r="I115" i="13"/>
  <c r="G115" i="13"/>
  <c r="E115" i="13"/>
  <c r="O91" i="13"/>
  <c r="I91" i="13"/>
  <c r="G91" i="13"/>
  <c r="E91" i="13"/>
  <c r="O93" i="13"/>
  <c r="I93" i="13"/>
  <c r="G93" i="13"/>
  <c r="E93" i="13"/>
  <c r="O97" i="13"/>
  <c r="I97" i="13"/>
  <c r="G97" i="13"/>
  <c r="E97" i="13"/>
  <c r="O99" i="13"/>
  <c r="I99" i="13"/>
  <c r="G99" i="13"/>
  <c r="E99" i="13"/>
  <c r="O101" i="13"/>
  <c r="I101" i="13"/>
  <c r="G101" i="13"/>
  <c r="E101" i="13"/>
  <c r="O103" i="13"/>
  <c r="I103" i="13"/>
  <c r="G103" i="13"/>
  <c r="E103" i="13"/>
  <c r="O105" i="13"/>
  <c r="I105" i="13"/>
  <c r="G105" i="13"/>
  <c r="E105" i="13"/>
  <c r="O107" i="13"/>
  <c r="I107" i="13"/>
  <c r="G107" i="13"/>
  <c r="E107" i="13"/>
  <c r="O109" i="13"/>
  <c r="I109" i="13"/>
  <c r="G109" i="13"/>
  <c r="E109" i="13"/>
  <c r="O111" i="13"/>
  <c r="I111" i="13"/>
  <c r="G111" i="13"/>
  <c r="E111" i="13"/>
  <c r="O113" i="13" l="1"/>
  <c r="I113" i="13"/>
  <c r="G113" i="13"/>
  <c r="E113" i="13"/>
  <c r="O89" i="13"/>
  <c r="I89" i="13"/>
  <c r="G89" i="13"/>
  <c r="E89" i="13"/>
  <c r="I87" i="13"/>
  <c r="G87" i="13"/>
  <c r="E87" i="13"/>
  <c r="O87" i="13"/>
  <c r="I85" i="13"/>
  <c r="G85" i="13"/>
  <c r="E85" i="13"/>
  <c r="O85" i="13"/>
  <c r="O83" i="13"/>
  <c r="I83" i="13"/>
  <c r="G83" i="13"/>
  <c r="E83" i="13"/>
  <c r="I81" i="13"/>
  <c r="G81" i="13"/>
  <c r="E81" i="13"/>
  <c r="O81" i="13"/>
  <c r="O79" i="13" l="1"/>
  <c r="I79" i="13"/>
  <c r="G79" i="13"/>
  <c r="E79" i="13"/>
  <c r="I77" i="13"/>
  <c r="G77" i="13"/>
  <c r="E77" i="13"/>
  <c r="O77" i="13"/>
  <c r="I75" i="13" l="1"/>
  <c r="G75" i="13"/>
  <c r="E75" i="13"/>
  <c r="O75" i="13"/>
  <c r="O73" i="13"/>
  <c r="O71" i="13"/>
  <c r="O69" i="13"/>
  <c r="O67" i="13"/>
  <c r="O65" i="13"/>
  <c r="O63" i="13"/>
  <c r="O61" i="13"/>
  <c r="O59" i="13"/>
  <c r="O57" i="13" l="1"/>
  <c r="O55" i="13"/>
  <c r="F53" i="13"/>
  <c r="O53" i="13"/>
  <c r="O51" i="13"/>
  <c r="F51" i="13"/>
  <c r="O49" i="13" l="1"/>
  <c r="O47" i="13"/>
  <c r="O45" i="13"/>
  <c r="O43" i="13"/>
  <c r="O41" i="13"/>
  <c r="O39" i="13"/>
  <c r="O37" i="13"/>
  <c r="O35" i="13"/>
  <c r="O33" i="13"/>
  <c r="O31" i="13"/>
  <c r="O29" i="13"/>
  <c r="O27" i="13"/>
  <c r="O25" i="13"/>
  <c r="O23" i="13"/>
  <c r="O21" i="13"/>
  <c r="O19" i="13"/>
  <c r="K174" i="13"/>
  <c r="K172" i="13"/>
  <c r="K171" i="13"/>
  <c r="K170" i="13"/>
  <c r="K169" i="13"/>
  <c r="K168" i="13"/>
  <c r="K167" i="13"/>
  <c r="K165" i="13"/>
  <c r="K164" i="13"/>
  <c r="I76" i="13"/>
  <c r="I74" i="13"/>
  <c r="E64" i="13"/>
  <c r="E62" i="13"/>
  <c r="E60" i="13"/>
  <c r="K52" i="13"/>
  <c r="D7" i="12" l="1"/>
  <c r="D8" i="12"/>
  <c r="D9" i="12"/>
  <c r="D10" i="12"/>
  <c r="D11" i="12"/>
  <c r="D12" i="12"/>
  <c r="D13" i="12"/>
  <c r="D14" i="12"/>
  <c r="D15" i="12"/>
  <c r="D16" i="12"/>
  <c r="D17" i="12"/>
  <c r="D18" i="12"/>
  <c r="D19" i="12"/>
  <c r="D20" i="12"/>
  <c r="D21" i="12"/>
  <c r="D22" i="12"/>
  <c r="D23" i="12"/>
  <c r="D6" i="12"/>
  <c r="D39" i="12"/>
  <c r="D40" i="12"/>
  <c r="D41" i="12"/>
  <c r="D42" i="12"/>
  <c r="D43" i="12"/>
  <c r="D44" i="12"/>
  <c r="D45" i="12"/>
  <c r="D46" i="12"/>
  <c r="D47" i="12"/>
  <c r="D48" i="12"/>
  <c r="D49" i="12"/>
  <c r="D50" i="12"/>
  <c r="D51" i="12"/>
  <c r="D26" i="12"/>
  <c r="D25" i="12"/>
  <c r="D28" i="12"/>
  <c r="D29" i="12"/>
  <c r="D30" i="12"/>
  <c r="D31" i="12"/>
  <c r="D32" i="12"/>
  <c r="D33" i="12"/>
  <c r="D34" i="12"/>
  <c r="D35" i="12"/>
  <c r="D36" i="12"/>
  <c r="D37" i="12"/>
  <c r="D38" i="12"/>
  <c r="D27" i="12"/>
</calcChain>
</file>

<file path=xl/sharedStrings.xml><?xml version="1.0" encoding="utf-8"?>
<sst xmlns="http://schemas.openxmlformats.org/spreadsheetml/2006/main" count="1890" uniqueCount="87">
  <si>
    <t>Country</t>
  </si>
  <si>
    <t>Source</t>
  </si>
  <si>
    <t>Year</t>
  </si>
  <si>
    <t>NA</t>
  </si>
  <si>
    <t>Total_deliveries</t>
  </si>
  <si>
    <t>Twinning_rate</t>
  </si>
  <si>
    <t>Multiple_rate</t>
  </si>
  <si>
    <t>Stillbirths</t>
  </si>
  <si>
    <t>Singletons</t>
  </si>
  <si>
    <t>Twin_deliveries</t>
  </si>
  <si>
    <t>Twin_children</t>
  </si>
  <si>
    <t>Triplet_deliveries</t>
  </si>
  <si>
    <t>Triplet_children</t>
  </si>
  <si>
    <t>Quadruplet_plus_deliveries</t>
  </si>
  <si>
    <t>Quadruplet_plus_children</t>
  </si>
  <si>
    <t>Multiple_deliveries</t>
  </si>
  <si>
    <t>Multiple_children</t>
  </si>
  <si>
    <t>Total_children</t>
  </si>
  <si>
    <t>United States</t>
  </si>
  <si>
    <t>VSUS</t>
  </si>
  <si>
    <t>NVSR</t>
  </si>
  <si>
    <t>input data</t>
  </si>
  <si>
    <t>Data on multiple births from the original sources</t>
  </si>
  <si>
    <t>Description of each column in the input data sheet</t>
  </si>
  <si>
    <t>Contents by sheet</t>
  </si>
  <si>
    <t>Column name</t>
  </si>
  <si>
    <t>Description</t>
  </si>
  <si>
    <t>Country name</t>
  </si>
  <si>
    <t>Year of reference of the data</t>
  </si>
  <si>
    <t>Code of data source</t>
  </si>
  <si>
    <t>Indicates whether the case with stillborn children are included in the data:</t>
  </si>
  <si>
    <t>0 = No (Stillbirths not inlcuded)</t>
  </si>
  <si>
    <t>1 = Yes (Stillbirths included)</t>
  </si>
  <si>
    <t>2 = Mixed (Stillbirths included in some cases or columns)</t>
  </si>
  <si>
    <t>99 = Information not available</t>
  </si>
  <si>
    <t>Variables in the "input data" sheet</t>
  </si>
  <si>
    <t>Number of single deliveries/children</t>
  </si>
  <si>
    <t>Number of twin deliveries</t>
  </si>
  <si>
    <t>Number of children from twin deliveries</t>
  </si>
  <si>
    <t>Number of children from triplet deliveries</t>
  </si>
  <si>
    <t>Number of deliveries involving quadruplets, quintuplets, etc.</t>
  </si>
  <si>
    <t>Number of children from quadruplet, quintuplet, etc. deliveries</t>
  </si>
  <si>
    <t>Total number of multiple deliveries (i.e. the sum of twin, triplet and quadruplet+ deliveries).</t>
  </si>
  <si>
    <t>Number of children born from multiple deliveries (twin babies, triplet babies, etc.)</t>
  </si>
  <si>
    <t>Total number of deliveries (i.e., single and multiple deliveries combined)</t>
  </si>
  <si>
    <t>Number of twin deliveries / total number of deliveries, per 1,000.</t>
  </si>
  <si>
    <t>Number of multiple deliveries / total number of deliveries, per 1,000.</t>
  </si>
  <si>
    <r>
      <t xml:space="preserve">This file provides the input data and metadata for the </t>
    </r>
    <r>
      <rPr>
        <b/>
        <sz val="14"/>
        <color rgb="FF0070C0"/>
        <rFont val="Arial"/>
        <family val="2"/>
      </rPr>
      <t>United States</t>
    </r>
    <r>
      <rPr>
        <sz val="14"/>
        <rFont val="Arial"/>
        <family val="2"/>
      </rPr>
      <t>,</t>
    </r>
    <r>
      <rPr>
        <sz val="12"/>
        <color rgb="FF000000"/>
        <rFont val="Arial"/>
        <family val="2"/>
      </rPr>
      <t xml:space="preserve"> as used for the construction of the Human Multiple Births Database (HMBD).</t>
    </r>
  </si>
  <si>
    <t>To cite the data or other material offered by the HMBD, please refer to our citation guidelines:</t>
  </si>
  <si>
    <t>https://www.twinbirths.org/en/citation-and-acknowledgements/</t>
  </si>
  <si>
    <t>www.twinbirths.org</t>
  </si>
  <si>
    <t>variables input data</t>
  </si>
  <si>
    <t xml:space="preserve">The HMBD is freely avalibale at: </t>
  </si>
  <si>
    <t>Footnotes</t>
  </si>
  <si>
    <t>If applicable, indicates the number(s) of the footnote(s) available for the concerned year in the metadata file of the country.</t>
  </si>
  <si>
    <t>Total number of children born</t>
  </si>
  <si>
    <t>Number of triplet deliveries</t>
  </si>
  <si>
    <t>1; 2; 3</t>
  </si>
  <si>
    <t>1; 2</t>
  </si>
  <si>
    <t>Total live births</t>
  </si>
  <si>
    <t>Adjusted for underregistration</t>
  </si>
  <si>
    <t>supplements</t>
  </si>
  <si>
    <r>
      <t>Registered</t>
    </r>
    <r>
      <rPr>
        <b/>
        <vertAlign val="superscript"/>
        <sz val="10"/>
        <color rgb="FF000000"/>
        <rFont val="Arial"/>
        <family val="2"/>
      </rPr>
      <t>2</t>
    </r>
  </si>
  <si>
    <t xml:space="preserve">Sources: </t>
  </si>
  <si>
    <t xml:space="preserve">https://www.cdc.gov/nchs/products/vsus.htm </t>
  </si>
  <si>
    <t xml:space="preserve">Notes: </t>
  </si>
  <si>
    <t>Completeness of birth registration</t>
  </si>
  <si>
    <r>
      <t>Registered and adjusted number of live-births (adjusted for underregsitration</t>
    </r>
    <r>
      <rPr>
        <b/>
        <vertAlign val="superscript"/>
        <sz val="10"/>
        <color rgb="FF000000"/>
        <rFont val="Arial"/>
        <family val="2"/>
      </rPr>
      <t>1</t>
    </r>
    <r>
      <rPr>
        <b/>
        <sz val="10"/>
        <color rgb="FF000000"/>
        <rFont val="Arial"/>
        <family val="2"/>
      </rPr>
      <t>), 1915-1959</t>
    </r>
  </si>
  <si>
    <t>Supplemental data - Registered and adjusted number of live-births (adjusted for underregsitration), 1915-1959</t>
  </si>
  <si>
    <r>
      <t xml:space="preserve">National Center for Health Statistics - National Vital Statistics Division. </t>
    </r>
    <r>
      <rPr>
        <i/>
        <sz val="10"/>
        <color rgb="FF000000"/>
        <rFont val="Arial"/>
        <family val="2"/>
      </rPr>
      <t xml:space="preserve">Vital Statistics of the United States 1959, </t>
    </r>
    <r>
      <rPr>
        <sz val="10"/>
        <color rgb="FF000000"/>
        <rFont val="Arial"/>
        <family val="2"/>
      </rPr>
      <t xml:space="preserve">Volume I. Washington. </t>
    </r>
  </si>
  <si>
    <t>Available online in the web site of the National Center for Health Statistics (NCHS).</t>
  </si>
  <si>
    <r>
      <rPr>
        <b/>
        <vertAlign val="superscript"/>
        <sz val="10"/>
        <color rgb="FF000000"/>
        <rFont val="Arial"/>
        <family val="2"/>
      </rPr>
      <t xml:space="preserve">1 </t>
    </r>
    <r>
      <rPr>
        <sz val="10"/>
        <color rgb="FF000000"/>
        <rFont val="Arial"/>
        <family val="2"/>
      </rPr>
      <t>For information about data coverage and completeness, please refer to the</t>
    </r>
    <r>
      <rPr>
        <sz val="10"/>
        <color rgb="FF000000"/>
        <rFont val="Arial"/>
      </rPr>
      <t xml:space="preserve"> metadada file for the United States in the HMBD.</t>
    </r>
  </si>
  <si>
    <t>Birth-registration area</t>
  </si>
  <si>
    <t>1; 3; 4</t>
  </si>
  <si>
    <t>1; 3</t>
  </si>
  <si>
    <r>
      <rPr>
        <b/>
        <vertAlign val="superscript"/>
        <sz val="10"/>
        <rFont val="Arial"/>
        <family val="2"/>
      </rPr>
      <t>2</t>
    </r>
    <r>
      <rPr>
        <sz val="10"/>
        <rFont val="Arial"/>
        <family val="2"/>
      </rPr>
      <t xml:space="preserve"> The values in the column '</t>
    </r>
    <r>
      <rPr>
        <i/>
        <sz val="10"/>
        <rFont val="Arial"/>
        <family val="2"/>
      </rPr>
      <t>Total live births - Registered</t>
    </r>
    <r>
      <rPr>
        <sz val="10"/>
        <rFont val="Arial"/>
        <family val="2"/>
      </rPr>
      <t>' are the same as those reported in the column '</t>
    </r>
    <r>
      <rPr>
        <i/>
        <sz val="10"/>
        <rFont val="Arial"/>
        <family val="2"/>
      </rPr>
      <t>Total_children</t>
    </r>
    <r>
      <rPr>
        <sz val="10"/>
        <rFont val="Arial"/>
        <family val="2"/>
      </rPr>
      <t>' in the 'input data' sheet. From 1915 to 1932, the number of Registered births corresponds to the States in the Birth-registration area, whereas from 1933 onwards it corresponds to the entire US (except Alaska and Hawaii, which are included from 1960 after they became US States). The estimates adjusted for underregistration are for the entire United States, i.e., adjusted for underregistration and, from 1915 to 1932, also adjusting for the States not in the registration area.</t>
    </r>
  </si>
  <si>
    <t>1; 2; 3; 4</t>
  </si>
  <si>
    <t>1; 4</t>
  </si>
  <si>
    <t>1; 3; 4; 5</t>
  </si>
  <si>
    <t>1; 2; 4; 6</t>
  </si>
  <si>
    <t>2; 4; 6</t>
  </si>
  <si>
    <t>4; 6</t>
  </si>
  <si>
    <t>4; 6; 7</t>
  </si>
  <si>
    <t>2; 4; 6; 7</t>
  </si>
  <si>
    <t>2; 6; 7</t>
  </si>
  <si>
    <t>6; 7</t>
  </si>
  <si>
    <t>2; 6; 7;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</si>
</sst>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0"/>
      <color rgb="FF000000"/>
      <name val="Arial"/>
    </font>
    <font>
      <sz val="10"/>
      <name val="Arial"/>
      <family val="2"/>
    </font>
    <font>
      <b/>
      <sz val="10"/>
      <color rgb="FF000000"/>
      <name val="Arial"/>
      <family val="2"/>
    </font>
    <font>
      <sz val="11"/>
      <color rgb="FF000000"/>
      <name val="Arial"/>
      <family val="2"/>
      <scheme val="minor"/>
    </font>
    <font>
      <b/>
      <sz val="10"/>
      <name val="Arial"/>
      <family val="2"/>
    </font>
    <font>
      <u/>
      <sz val="10"/>
      <color theme="10"/>
      <name val="Arial"/>
      <family val="2"/>
    </font>
    <font>
      <u/>
      <sz val="11"/>
      <color theme="10"/>
      <name val="Arial"/>
      <family val="2"/>
    </font>
    <font>
      <sz val="10"/>
      <color rgb="FF000000"/>
      <name val="Arial"/>
      <family val="2"/>
    </font>
    <font>
      <sz val="12"/>
      <color rgb="FF000000"/>
      <name val="Arial"/>
      <family val="2"/>
    </font>
    <font>
      <b/>
      <sz val="12"/>
      <color rgb="FF000000"/>
      <name val="Arial"/>
      <family val="2"/>
    </font>
    <font>
      <b/>
      <sz val="12"/>
      <color rgb="FF0070C0"/>
      <name val="Arial"/>
      <family val="2"/>
    </font>
    <font>
      <b/>
      <sz val="14"/>
      <color rgb="FF0070C0"/>
      <name val="Arial"/>
      <family val="2"/>
    </font>
    <font>
      <sz val="14"/>
      <name val="Arial"/>
      <family val="2"/>
    </font>
    <font>
      <b/>
      <sz val="11"/>
      <color rgb="FF0070C0"/>
      <name val="Arial"/>
      <family val="2"/>
      <scheme val="minor"/>
    </font>
    <font>
      <u/>
      <sz val="11"/>
      <color theme="10"/>
      <name val="Arial"/>
      <family val="2"/>
      <scheme val="minor"/>
    </font>
    <font>
      <i/>
      <sz val="10"/>
      <color theme="1"/>
      <name val="Arial"/>
      <family val="2"/>
    </font>
    <font>
      <i/>
      <sz val="10"/>
      <name val="Arial"/>
      <family val="2"/>
    </font>
    <font>
      <sz val="10"/>
      <color rgb="FF212D3A"/>
      <name val="Arial"/>
      <family val="2"/>
    </font>
    <font>
      <u/>
      <sz val="9"/>
      <color theme="10"/>
      <name val="Arial"/>
      <family val="2"/>
    </font>
    <font>
      <sz val="11"/>
      <color rgb="FF000000"/>
      <name val="Arial"/>
      <family val="2"/>
    </font>
    <font>
      <b/>
      <vertAlign val="superscript"/>
      <sz val="10"/>
      <color rgb="FF000000"/>
      <name val="Arial"/>
      <family val="2"/>
    </font>
    <font>
      <b/>
      <vertAlign val="superscript"/>
      <sz val="10"/>
      <name val="Arial"/>
      <family val="2"/>
    </font>
    <font>
      <i/>
      <sz val="10"/>
      <color rgb="FF000000"/>
      <name val="Arial"/>
      <family val="2"/>
    </font>
    <font>
      <sz val="10"/>
      <color rgb="FFFF0000"/>
      <name val="Arial"/>
      <family val="2"/>
    </font>
    <font>
      <b/>
      <sz val="10"/>
      <color theme="7" tint="-0.249977111117893"/>
      <name val="Arial"/>
      <family val="2"/>
    </font>
    <font>
      <sz val="10"/>
      <color theme="7" tint="-0.249977111117893"/>
      <name val="Arial"/>
      <family val="2"/>
    </font>
  </fonts>
  <fills count="3">
    <fill>
      <patternFill patternType="none"/>
    </fill>
    <fill>
      <patternFill patternType="gray125"/>
    </fill>
    <fill>
      <patternFill patternType="solid">
        <fgColor theme="0"/>
        <bgColor indexed="64"/>
      </patternFill>
    </fill>
  </fills>
  <borders count="21">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s>
  <cellStyleXfs count="2">
    <xf numFmtId="0" fontId="0" fillId="0" borderId="0"/>
    <xf numFmtId="0" fontId="5" fillId="0" borderId="0" applyNumberFormat="0" applyFill="0" applyBorder="0" applyAlignment="0" applyProtection="0"/>
  </cellStyleXfs>
  <cellXfs count="64">
    <xf numFmtId="0" fontId="0" fillId="0" borderId="0" xfId="0" applyFont="1" applyAlignment="1"/>
    <xf numFmtId="0" fontId="4" fillId="0" borderId="0" xfId="0" applyFont="1" applyFill="1" applyBorder="1" applyAlignment="1">
      <alignment horizontal="right" wrapText="1"/>
    </xf>
    <xf numFmtId="0" fontId="3" fillId="2" borderId="0" xfId="0" applyFont="1" applyFill="1" applyAlignment="1"/>
    <xf numFmtId="0" fontId="0" fillId="2" borderId="0" xfId="0" applyFont="1" applyFill="1" applyAlignment="1"/>
    <xf numFmtId="0" fontId="8" fillId="2" borderId="0" xfId="0" applyFont="1" applyFill="1" applyAlignment="1"/>
    <xf numFmtId="0" fontId="13" fillId="2" borderId="0" xfId="0" applyFont="1" applyFill="1" applyAlignment="1"/>
    <xf numFmtId="0" fontId="14" fillId="2" borderId="0" xfId="1" applyFont="1" applyFill="1" applyAlignment="1"/>
    <xf numFmtId="0" fontId="0" fillId="2" borderId="0" xfId="0" applyFont="1" applyFill="1" applyAlignment="1">
      <alignment wrapText="1"/>
    </xf>
    <xf numFmtId="0" fontId="15" fillId="2" borderId="7" xfId="0" applyFont="1" applyFill="1" applyBorder="1" applyAlignment="1">
      <alignment horizontal="center" wrapText="1"/>
    </xf>
    <xf numFmtId="0" fontId="7" fillId="2" borderId="8" xfId="0" applyFont="1" applyFill="1" applyBorder="1" applyAlignment="1"/>
    <xf numFmtId="0" fontId="16" fillId="2" borderId="7" xfId="0" applyFont="1" applyFill="1" applyBorder="1" applyAlignment="1">
      <alignment horizontal="center" wrapText="1"/>
    </xf>
    <xf numFmtId="0" fontId="0" fillId="2" borderId="8" xfId="0" applyFont="1" applyFill="1" applyBorder="1" applyAlignment="1"/>
    <xf numFmtId="0" fontId="10" fillId="2" borderId="5" xfId="0" applyFont="1" applyFill="1" applyBorder="1" applyAlignment="1">
      <alignment horizontal="center" vertical="center" wrapText="1"/>
    </xf>
    <xf numFmtId="0" fontId="10" fillId="2" borderId="6" xfId="0" applyFont="1" applyFill="1" applyBorder="1" applyAlignment="1">
      <alignment horizontal="center" vertical="center"/>
    </xf>
    <xf numFmtId="0" fontId="9" fillId="2" borderId="0" xfId="0" applyFont="1" applyFill="1" applyAlignment="1"/>
    <xf numFmtId="0" fontId="1" fillId="0" borderId="0" xfId="0" applyFont="1" applyFill="1" applyBorder="1" applyAlignment="1">
      <alignment horizontal="right"/>
    </xf>
    <xf numFmtId="0" fontId="17" fillId="0" borderId="9" xfId="0" applyFont="1" applyBorder="1" applyAlignment="1"/>
    <xf numFmtId="0" fontId="5" fillId="2" borderId="9" xfId="1" applyFill="1" applyBorder="1" applyAlignment="1"/>
    <xf numFmtId="0" fontId="0" fillId="2" borderId="9" xfId="0" applyFont="1" applyFill="1" applyBorder="1" applyAlignment="1"/>
    <xf numFmtId="0" fontId="5" fillId="2" borderId="0" xfId="1" applyFont="1" applyFill="1" applyAlignment="1"/>
    <xf numFmtId="0" fontId="18" fillId="2" borderId="0" xfId="1" applyFont="1" applyFill="1" applyAlignment="1">
      <alignment horizontal="right"/>
    </xf>
    <xf numFmtId="0" fontId="7" fillId="2" borderId="10" xfId="0" applyFont="1" applyFill="1" applyBorder="1" applyAlignment="1"/>
    <xf numFmtId="0" fontId="7" fillId="2" borderId="12" xfId="0" applyFont="1" applyFill="1" applyBorder="1" applyAlignment="1"/>
    <xf numFmtId="0" fontId="7" fillId="2" borderId="13" xfId="0" applyFont="1" applyFill="1" applyBorder="1" applyAlignment="1"/>
    <xf numFmtId="0" fontId="0" fillId="2" borderId="10" xfId="0" applyFont="1" applyFill="1" applyBorder="1" applyAlignment="1"/>
    <xf numFmtId="0" fontId="6" fillId="2" borderId="0" xfId="1" applyFont="1" applyFill="1" applyAlignment="1"/>
    <xf numFmtId="0" fontId="19" fillId="2" borderId="0" xfId="0" applyFont="1" applyFill="1" applyAlignment="1"/>
    <xf numFmtId="0" fontId="16" fillId="2" borderId="14" xfId="0" applyFont="1" applyFill="1" applyBorder="1" applyAlignment="1">
      <alignment horizontal="center" vertical="top" wrapText="1"/>
    </xf>
    <xf numFmtId="0" fontId="1" fillId="2" borderId="15" xfId="0" applyFont="1" applyFill="1" applyBorder="1" applyAlignment="1">
      <alignment wrapText="1"/>
    </xf>
    <xf numFmtId="0" fontId="5" fillId="2" borderId="0" xfId="1" applyFill="1" applyAlignment="1"/>
    <xf numFmtId="0" fontId="2" fillId="2" borderId="0" xfId="0" applyFont="1" applyFill="1" applyAlignment="1">
      <alignment horizontal="left"/>
    </xf>
    <xf numFmtId="0" fontId="1" fillId="2" borderId="0" xfId="0" applyFont="1" applyFill="1" applyAlignment="1">
      <alignment horizontal="center"/>
    </xf>
    <xf numFmtId="0" fontId="7" fillId="2" borderId="0" xfId="0" applyFont="1" applyFill="1" applyAlignment="1"/>
    <xf numFmtId="0" fontId="0" fillId="2" borderId="1" xfId="0" applyFont="1" applyFill="1" applyBorder="1" applyAlignment="1"/>
    <xf numFmtId="0" fontId="1" fillId="2" borderId="2" xfId="0" applyFont="1" applyFill="1" applyBorder="1" applyAlignment="1">
      <alignment horizontal="center"/>
    </xf>
    <xf numFmtId="0" fontId="0" fillId="2" borderId="3" xfId="0" applyFont="1" applyFill="1" applyBorder="1" applyAlignment="1"/>
    <xf numFmtId="0" fontId="1" fillId="2" borderId="4" xfId="0" applyFont="1" applyFill="1" applyBorder="1" applyAlignment="1">
      <alignment horizontal="center"/>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2" borderId="2" xfId="0" applyFont="1" applyFill="1" applyBorder="1" applyAlignment="1"/>
    <xf numFmtId="0" fontId="0" fillId="2" borderId="4" xfId="0" applyFont="1" applyFill="1" applyBorder="1" applyAlignment="1"/>
    <xf numFmtId="0" fontId="0" fillId="2" borderId="19" xfId="0" applyFont="1" applyFill="1" applyBorder="1" applyAlignment="1"/>
    <xf numFmtId="0" fontId="0" fillId="2" borderId="20" xfId="0" applyFont="1" applyFill="1" applyBorder="1" applyAlignment="1"/>
    <xf numFmtId="0" fontId="1" fillId="2" borderId="20" xfId="0" applyFont="1" applyFill="1" applyBorder="1" applyAlignment="1">
      <alignment horizontal="center"/>
    </xf>
    <xf numFmtId="0" fontId="2"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22" fillId="2" borderId="1" xfId="0" applyFont="1" applyFill="1" applyBorder="1" applyAlignment="1">
      <alignment horizontal="center" vertical="center" wrapText="1"/>
    </xf>
    <xf numFmtId="0" fontId="22" fillId="2" borderId="2" xfId="0" applyFont="1" applyFill="1" applyBorder="1" applyAlignment="1">
      <alignment horizontal="center" vertical="center" wrapText="1"/>
    </xf>
    <xf numFmtId="0" fontId="22" fillId="2" borderId="1" xfId="0" applyFont="1" applyFill="1" applyBorder="1" applyAlignment="1">
      <alignment horizontal="center"/>
    </xf>
    <xf numFmtId="0" fontId="22" fillId="2" borderId="2" xfId="0" applyFont="1" applyFill="1" applyBorder="1" applyAlignment="1">
      <alignment horizontal="center"/>
    </xf>
    <xf numFmtId="0" fontId="4" fillId="0" borderId="0" xfId="0" applyFont="1" applyFill="1" applyBorder="1" applyAlignment="1">
      <alignment horizontal="right" vertical="center" wrapText="1"/>
    </xf>
    <xf numFmtId="0" fontId="4" fillId="0" borderId="0" xfId="0" applyFont="1" applyFill="1" applyBorder="1" applyAlignment="1">
      <alignment wrapText="1"/>
    </xf>
    <xf numFmtId="0" fontId="1" fillId="0" borderId="0" xfId="0" applyFont="1" applyFill="1" applyBorder="1" applyAlignment="1"/>
    <xf numFmtId="0" fontId="23" fillId="0" borderId="0" xfId="0" applyFont="1" applyFill="1" applyBorder="1" applyAlignment="1"/>
    <xf numFmtId="0" fontId="24" fillId="0" borderId="0" xfId="0" applyFont="1" applyFill="1" applyBorder="1" applyAlignment="1"/>
    <xf numFmtId="0" fontId="25" fillId="0" borderId="0" xfId="0" applyFont="1" applyFill="1" applyBorder="1" applyAlignment="1"/>
    <xf numFmtId="0" fontId="15" fillId="2" borderId="11" xfId="0" applyFont="1" applyFill="1" applyBorder="1" applyAlignment="1">
      <alignment horizontal="center" vertical="top" wrapText="1"/>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16"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1" fillId="2" borderId="0" xfId="0" applyFont="1" applyFill="1" applyAlignment="1">
      <alignment horizontal="left" vertical="top" wrapText="1"/>
    </xf>
  </cellXfs>
  <cellStyles count="2">
    <cellStyle name="Lien hypertexte"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microsoft.com/office/2017/10/relationships/person" Target="persons/person.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0</xdr:row>
      <xdr:rowOff>76200</xdr:rowOff>
    </xdr:from>
    <xdr:to>
      <xdr:col>2</xdr:col>
      <xdr:colOff>538518</xdr:colOff>
      <xdr:row>5</xdr:row>
      <xdr:rowOff>38099</xdr:rowOff>
    </xdr:to>
    <xdr:pic>
      <xdr:nvPicPr>
        <xdr:cNvPr id="3" name="Imag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 y="76200"/>
          <a:ext cx="2043468" cy="8191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5494020</xdr:colOff>
      <xdr:row>0</xdr:row>
      <xdr:rowOff>82550</xdr:rowOff>
    </xdr:from>
    <xdr:to>
      <xdr:col>2</xdr:col>
      <xdr:colOff>87668</xdr:colOff>
      <xdr:row>3</xdr:row>
      <xdr:rowOff>113030</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83170" y="82550"/>
          <a:ext cx="1559598" cy="50673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Catalina Torres" id="{D5DA8753-6EBA-4E27-BF4A-1BBF860E9156}" userId="a73cc1f722971ae9" providerId="Windows Live"/>
</personList>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twinbirths.org/" TargetMode="External"/><Relationship Id="rId1" Type="http://schemas.openxmlformats.org/officeDocument/2006/relationships/hyperlink" Target="https://www.twinbirths.org/en/citation-and-acknowledgements/"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twinbirths.org/"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cdc.gov/nchs/products/vsus.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K24"/>
  <sheetViews>
    <sheetView tabSelected="1" zoomScale="80" zoomScaleNormal="80" workbookViewId="0"/>
  </sheetViews>
  <sheetFormatPr baseColWidth="10" defaultColWidth="11.54296875" defaultRowHeight="12.5" x14ac:dyDescent="0.25"/>
  <cols>
    <col min="1" max="16384" width="11.54296875" style="3"/>
  </cols>
  <sheetData>
    <row r="8" spans="1:4" ht="18" x14ac:dyDescent="0.4">
      <c r="A8" s="4" t="s">
        <v>47</v>
      </c>
    </row>
    <row r="9" spans="1:4" ht="14" x14ac:dyDescent="0.3">
      <c r="A9" s="26" t="s">
        <v>52</v>
      </c>
      <c r="D9" s="25" t="s">
        <v>50</v>
      </c>
    </row>
    <row r="10" spans="1:4" ht="14" x14ac:dyDescent="0.3">
      <c r="A10" s="26"/>
      <c r="D10" s="25"/>
    </row>
    <row r="11" spans="1:4" ht="14" x14ac:dyDescent="0.3">
      <c r="A11" s="26"/>
      <c r="D11" s="25"/>
    </row>
    <row r="12" spans="1:4" ht="14" x14ac:dyDescent="0.3">
      <c r="A12" s="5" t="s">
        <v>24</v>
      </c>
    </row>
    <row r="13" spans="1:4" ht="14" x14ac:dyDescent="0.3">
      <c r="A13" s="2"/>
    </row>
    <row r="14" spans="1:4" ht="14" x14ac:dyDescent="0.3">
      <c r="A14" s="6" t="s">
        <v>21</v>
      </c>
    </row>
    <row r="15" spans="1:4" ht="14" x14ac:dyDescent="0.3">
      <c r="A15" s="2" t="s">
        <v>22</v>
      </c>
    </row>
    <row r="16" spans="1:4" ht="14" x14ac:dyDescent="0.3">
      <c r="A16" s="2"/>
    </row>
    <row r="17" spans="1:11" ht="14" x14ac:dyDescent="0.3">
      <c r="A17" s="25" t="s">
        <v>51</v>
      </c>
    </row>
    <row r="18" spans="1:11" ht="14" x14ac:dyDescent="0.3">
      <c r="A18" s="2" t="s">
        <v>23</v>
      </c>
    </row>
    <row r="19" spans="1:11" ht="14" x14ac:dyDescent="0.3">
      <c r="A19" s="2"/>
    </row>
    <row r="20" spans="1:11" ht="14" x14ac:dyDescent="0.3">
      <c r="A20" s="25" t="s">
        <v>61</v>
      </c>
    </row>
    <row r="21" spans="1:11" ht="14" x14ac:dyDescent="0.3">
      <c r="A21" s="2" t="s">
        <v>68</v>
      </c>
    </row>
    <row r="22" spans="1:11" ht="14" x14ac:dyDescent="0.3">
      <c r="A22" s="2"/>
    </row>
    <row r="23" spans="1:11" x14ac:dyDescent="0.25">
      <c r="A23" s="16" t="s">
        <v>48</v>
      </c>
      <c r="B23" s="17"/>
      <c r="C23" s="18"/>
      <c r="D23" s="18"/>
      <c r="E23" s="18"/>
      <c r="F23" s="18"/>
      <c r="G23" s="18"/>
      <c r="H23" s="18"/>
      <c r="I23" s="18"/>
      <c r="J23" s="18"/>
      <c r="K23" s="18"/>
    </row>
    <row r="24" spans="1:11" x14ac:dyDescent="0.25">
      <c r="A24" s="19" t="s">
        <v>49</v>
      </c>
    </row>
  </sheetData>
  <hyperlinks>
    <hyperlink ref="A14" location="'input data'!A1" display="input data"/>
    <hyperlink ref="A17" location="'variables input data'!A1" display="variables input data"/>
    <hyperlink ref="A24" r:id="rId1"/>
    <hyperlink ref="D9" r:id="rId2"/>
    <hyperlink ref="A20" location="supplements!A1" display="supplements"/>
  </hyperlinks>
  <pageMargins left="0.7" right="0.7" top="0.75" bottom="0.75" header="0.3" footer="0.3"/>
  <pageSetup paperSize="9"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T177"/>
  <sheetViews>
    <sheetView zoomScale="70" zoomScaleNormal="70" workbookViewId="0">
      <pane xSplit="3" ySplit="1" topLeftCell="D2" activePane="bottomRight" state="frozen"/>
      <selection pane="topRight" activeCell="D1" sqref="D1"/>
      <selection pane="bottomLeft" activeCell="A2" sqref="A2"/>
      <selection pane="bottomRight"/>
    </sheetView>
  </sheetViews>
  <sheetFormatPr baseColWidth="10" defaultColWidth="14.453125" defaultRowHeight="15.75" customHeight="1" x14ac:dyDescent="0.25"/>
  <cols>
    <col min="1" max="1" width="14.453125" style="15" customWidth="1"/>
    <col min="2" max="2" width="11" style="15" customWidth="1"/>
    <col min="3" max="3" width="7.453125" style="15" customWidth="1"/>
    <col min="4" max="4" width="11" style="15" customWidth="1"/>
    <col min="5" max="15" width="11.54296875" style="15" customWidth="1"/>
    <col min="16" max="18" width="11" style="15" customWidth="1"/>
    <col min="19" max="19" width="14.453125" style="52"/>
    <col min="20" max="20" width="14.453125" style="52" customWidth="1"/>
    <col min="21" max="16384" width="14.453125" style="52"/>
  </cols>
  <sheetData>
    <row r="1" spans="1:19" s="51" customFormat="1" ht="39.65" customHeight="1" x14ac:dyDescent="0.3">
      <c r="A1" s="1" t="s">
        <v>0</v>
      </c>
      <c r="B1" s="1" t="s">
        <v>1</v>
      </c>
      <c r="C1" s="1" t="s">
        <v>2</v>
      </c>
      <c r="D1" s="1" t="s">
        <v>7</v>
      </c>
      <c r="E1" s="1" t="s">
        <v>8</v>
      </c>
      <c r="F1" s="1" t="s">
        <v>9</v>
      </c>
      <c r="G1" s="1" t="s">
        <v>10</v>
      </c>
      <c r="H1" s="1" t="s">
        <v>11</v>
      </c>
      <c r="I1" s="1" t="s">
        <v>12</v>
      </c>
      <c r="J1" s="1" t="s">
        <v>13</v>
      </c>
      <c r="K1" s="1" t="s">
        <v>14</v>
      </c>
      <c r="L1" s="1" t="s">
        <v>15</v>
      </c>
      <c r="M1" s="1" t="s">
        <v>16</v>
      </c>
      <c r="N1" s="1" t="s">
        <v>4</v>
      </c>
      <c r="O1" s="1" t="s">
        <v>17</v>
      </c>
      <c r="P1" s="1" t="s">
        <v>5</v>
      </c>
      <c r="Q1" s="1" t="s">
        <v>6</v>
      </c>
      <c r="R1" s="50" t="s">
        <v>53</v>
      </c>
      <c r="S1" s="1"/>
    </row>
    <row r="2" spans="1:19" ht="15.75" customHeight="1" x14ac:dyDescent="0.25">
      <c r="A2" s="15" t="s">
        <v>18</v>
      </c>
      <c r="B2" s="15" t="s">
        <v>19</v>
      </c>
      <c r="C2" s="15">
        <v>1915</v>
      </c>
      <c r="D2" s="15">
        <v>2</v>
      </c>
      <c r="E2" s="15">
        <v>761150</v>
      </c>
      <c r="F2" s="15">
        <v>7673</v>
      </c>
      <c r="G2" s="15" t="s">
        <v>3</v>
      </c>
      <c r="H2" s="15">
        <v>64</v>
      </c>
      <c r="I2" s="15" t="s">
        <v>3</v>
      </c>
      <c r="J2" s="15">
        <v>0</v>
      </c>
      <c r="K2" s="15" t="s">
        <v>3</v>
      </c>
      <c r="L2" s="15">
        <v>7737</v>
      </c>
      <c r="M2" s="15" t="s">
        <v>3</v>
      </c>
      <c r="N2" s="15">
        <v>768887</v>
      </c>
      <c r="O2" s="15">
        <v>776304</v>
      </c>
      <c r="P2" s="15" t="s">
        <v>3</v>
      </c>
      <c r="Q2" s="15">
        <v>10.1</v>
      </c>
      <c r="R2" s="15">
        <v>1</v>
      </c>
    </row>
    <row r="3" spans="1:19" ht="15.75" customHeight="1" x14ac:dyDescent="0.25">
      <c r="A3" s="15" t="s">
        <v>18</v>
      </c>
      <c r="B3" s="15" t="s">
        <v>19</v>
      </c>
      <c r="C3" s="15">
        <v>1916</v>
      </c>
      <c r="D3" s="15">
        <v>2</v>
      </c>
      <c r="E3" s="15">
        <v>802892</v>
      </c>
      <c r="F3" s="15">
        <v>8139</v>
      </c>
      <c r="G3" s="15" t="s">
        <v>3</v>
      </c>
      <c r="H3" s="15">
        <v>86</v>
      </c>
      <c r="I3" s="15" t="s">
        <v>3</v>
      </c>
      <c r="J3" s="15">
        <v>2</v>
      </c>
      <c r="K3" s="15" t="s">
        <v>3</v>
      </c>
      <c r="L3" s="15">
        <v>8227</v>
      </c>
      <c r="M3" s="15" t="s">
        <v>3</v>
      </c>
      <c r="N3" s="15">
        <v>811119</v>
      </c>
      <c r="O3" s="15">
        <v>818983</v>
      </c>
      <c r="P3" s="15" t="s">
        <v>3</v>
      </c>
      <c r="Q3" s="15">
        <v>10.1</v>
      </c>
      <c r="R3" s="15">
        <v>1</v>
      </c>
    </row>
    <row r="4" spans="1:19" ht="15.75" customHeight="1" x14ac:dyDescent="0.25">
      <c r="A4" s="15" t="s">
        <v>18</v>
      </c>
      <c r="B4" s="15" t="s">
        <v>19</v>
      </c>
      <c r="C4" s="15">
        <v>1917</v>
      </c>
      <c r="D4" s="15">
        <v>2</v>
      </c>
      <c r="E4" s="15">
        <v>1325426</v>
      </c>
      <c r="F4" s="15">
        <v>14394</v>
      </c>
      <c r="G4" s="15" t="s">
        <v>3</v>
      </c>
      <c r="H4" s="15">
        <v>155</v>
      </c>
      <c r="I4" s="15" t="s">
        <v>3</v>
      </c>
      <c r="J4" s="15">
        <v>0</v>
      </c>
      <c r="K4" s="15" t="s">
        <v>3</v>
      </c>
      <c r="L4" s="15">
        <v>14549</v>
      </c>
      <c r="M4" s="15" t="s">
        <v>3</v>
      </c>
      <c r="N4" s="15">
        <v>1339975</v>
      </c>
      <c r="O4" s="15">
        <v>1353792</v>
      </c>
      <c r="P4" s="15" t="s">
        <v>3</v>
      </c>
      <c r="Q4" s="15">
        <v>10.9</v>
      </c>
      <c r="R4" s="15">
        <v>1</v>
      </c>
    </row>
    <row r="5" spans="1:19" ht="15.75" customHeight="1" x14ac:dyDescent="0.25">
      <c r="A5" s="15" t="s">
        <v>18</v>
      </c>
      <c r="B5" s="15" t="s">
        <v>19</v>
      </c>
      <c r="C5" s="15">
        <v>1918</v>
      </c>
      <c r="D5" s="15">
        <v>2</v>
      </c>
      <c r="E5" s="15">
        <v>1333526</v>
      </c>
      <c r="F5" s="15">
        <v>15342</v>
      </c>
      <c r="G5" s="15" t="s">
        <v>3</v>
      </c>
      <c r="H5" s="15">
        <v>147</v>
      </c>
      <c r="I5" s="15" t="s">
        <v>3</v>
      </c>
      <c r="J5" s="15">
        <v>0</v>
      </c>
      <c r="K5" s="15" t="s">
        <v>3</v>
      </c>
      <c r="L5" s="15">
        <v>15489</v>
      </c>
      <c r="M5" s="15" t="s">
        <v>3</v>
      </c>
      <c r="N5" s="15">
        <v>1349015</v>
      </c>
      <c r="O5" s="15">
        <v>1363649</v>
      </c>
      <c r="P5" s="15" t="s">
        <v>3</v>
      </c>
      <c r="Q5" s="15">
        <v>11.5</v>
      </c>
      <c r="R5" s="15">
        <v>1</v>
      </c>
    </row>
    <row r="6" spans="1:19" ht="15.75" customHeight="1" x14ac:dyDescent="0.25">
      <c r="A6" s="15" t="s">
        <v>18</v>
      </c>
      <c r="B6" s="15" t="s">
        <v>19</v>
      </c>
      <c r="C6" s="15">
        <v>1919</v>
      </c>
      <c r="D6" s="15">
        <v>2</v>
      </c>
      <c r="E6" s="15">
        <v>1341234</v>
      </c>
      <c r="F6" s="15">
        <v>16316</v>
      </c>
      <c r="G6" s="15" t="s">
        <v>3</v>
      </c>
      <c r="H6" s="15">
        <v>186</v>
      </c>
      <c r="I6" s="15" t="s">
        <v>3</v>
      </c>
      <c r="J6" s="15">
        <v>1</v>
      </c>
      <c r="K6" s="15" t="s">
        <v>3</v>
      </c>
      <c r="L6" s="15">
        <v>16503</v>
      </c>
      <c r="M6" s="15" t="s">
        <v>3</v>
      </c>
      <c r="N6" s="15">
        <v>1357737</v>
      </c>
      <c r="O6" s="15">
        <v>1373438</v>
      </c>
      <c r="P6" s="15" t="s">
        <v>3</v>
      </c>
      <c r="Q6" s="15">
        <v>12.2</v>
      </c>
      <c r="R6" s="15">
        <v>1</v>
      </c>
    </row>
    <row r="7" spans="1:19" ht="15.75" customHeight="1" x14ac:dyDescent="0.25">
      <c r="A7" s="15" t="s">
        <v>18</v>
      </c>
      <c r="B7" s="15" t="s">
        <v>19</v>
      </c>
      <c r="C7" s="15">
        <v>1920</v>
      </c>
      <c r="D7" s="15">
        <v>2</v>
      </c>
      <c r="E7" s="15">
        <v>1475113</v>
      </c>
      <c r="F7" s="15">
        <v>17229</v>
      </c>
      <c r="G7" s="15" t="s">
        <v>3</v>
      </c>
      <c r="H7" s="15">
        <v>184</v>
      </c>
      <c r="I7" s="15" t="s">
        <v>3</v>
      </c>
      <c r="J7" s="15">
        <v>6</v>
      </c>
      <c r="K7" s="15" t="s">
        <v>3</v>
      </c>
      <c r="L7" s="15">
        <v>17419</v>
      </c>
      <c r="M7" s="15" t="s">
        <v>3</v>
      </c>
      <c r="N7" s="15">
        <v>1492532</v>
      </c>
      <c r="O7" s="15">
        <v>1508874</v>
      </c>
      <c r="P7" s="15" t="s">
        <v>3</v>
      </c>
      <c r="Q7" s="15">
        <v>11.7</v>
      </c>
      <c r="R7" s="15">
        <v>1</v>
      </c>
    </row>
    <row r="8" spans="1:19" ht="15.75" customHeight="1" x14ac:dyDescent="0.25">
      <c r="A8" s="15" t="s">
        <v>18</v>
      </c>
      <c r="B8" s="15" t="s">
        <v>19</v>
      </c>
      <c r="C8" s="15">
        <v>1921</v>
      </c>
      <c r="D8" s="15">
        <v>2</v>
      </c>
      <c r="E8" s="15">
        <v>1674875</v>
      </c>
      <c r="F8" s="15">
        <v>20021</v>
      </c>
      <c r="G8" s="15" t="s">
        <v>3</v>
      </c>
      <c r="H8" s="15">
        <v>230</v>
      </c>
      <c r="I8" s="15" t="s">
        <v>3</v>
      </c>
      <c r="J8" s="15">
        <v>1</v>
      </c>
      <c r="K8" s="15" t="s">
        <v>3</v>
      </c>
      <c r="L8" s="15">
        <v>20252</v>
      </c>
      <c r="M8" s="15" t="s">
        <v>3</v>
      </c>
      <c r="N8" s="15">
        <v>1695127</v>
      </c>
      <c r="O8" s="15">
        <v>1714261</v>
      </c>
      <c r="P8" s="15" t="s">
        <v>3</v>
      </c>
      <c r="Q8" s="15">
        <v>11.9</v>
      </c>
      <c r="R8" s="15">
        <v>1</v>
      </c>
    </row>
    <row r="9" spans="1:19" ht="15.75" customHeight="1" x14ac:dyDescent="0.25">
      <c r="A9" s="15" t="s">
        <v>18</v>
      </c>
      <c r="B9" s="15" t="s">
        <v>19</v>
      </c>
      <c r="C9" s="15">
        <v>1922</v>
      </c>
      <c r="D9" s="15">
        <v>2</v>
      </c>
      <c r="E9" s="15">
        <v>1735074</v>
      </c>
      <c r="F9" s="15">
        <v>20284</v>
      </c>
      <c r="G9" s="15" t="s">
        <v>3</v>
      </c>
      <c r="H9" s="15">
        <v>199</v>
      </c>
      <c r="I9" s="15" t="s">
        <v>3</v>
      </c>
      <c r="J9" s="15">
        <v>4</v>
      </c>
      <c r="K9" s="15" t="s">
        <v>3</v>
      </c>
      <c r="L9" s="15">
        <v>20487</v>
      </c>
      <c r="M9" s="15" t="s">
        <v>3</v>
      </c>
      <c r="N9" s="15">
        <v>1755561</v>
      </c>
      <c r="O9" s="15">
        <v>1774911</v>
      </c>
      <c r="P9" s="15" t="s">
        <v>3</v>
      </c>
      <c r="Q9" s="15">
        <v>11.7</v>
      </c>
      <c r="R9" s="15">
        <v>1</v>
      </c>
    </row>
    <row r="10" spans="1:19" ht="15.75" customHeight="1" x14ac:dyDescent="0.25">
      <c r="A10" s="15" t="s">
        <v>18</v>
      </c>
      <c r="B10" s="15" t="s">
        <v>19</v>
      </c>
      <c r="C10" s="15">
        <v>1923</v>
      </c>
      <c r="D10" s="15">
        <v>2</v>
      </c>
      <c r="E10" s="15">
        <v>1752331</v>
      </c>
      <c r="F10" s="15">
        <v>20594</v>
      </c>
      <c r="G10" s="15" t="s">
        <v>3</v>
      </c>
      <c r="H10" s="15">
        <v>179</v>
      </c>
      <c r="I10" s="15" t="s">
        <v>3</v>
      </c>
      <c r="J10" s="15">
        <v>2</v>
      </c>
      <c r="K10" s="15" t="s">
        <v>3</v>
      </c>
      <c r="L10" s="15">
        <v>20775</v>
      </c>
      <c r="M10" s="15" t="s">
        <v>3</v>
      </c>
      <c r="N10" s="15">
        <v>1773106</v>
      </c>
      <c r="O10" s="15">
        <v>1792646</v>
      </c>
      <c r="P10" s="15" t="s">
        <v>3</v>
      </c>
      <c r="Q10" s="15">
        <v>11.7</v>
      </c>
      <c r="R10" s="15">
        <v>1</v>
      </c>
    </row>
    <row r="11" spans="1:19" ht="15.75" customHeight="1" x14ac:dyDescent="0.25">
      <c r="A11" s="15" t="s">
        <v>18</v>
      </c>
      <c r="B11" s="15" t="s">
        <v>19</v>
      </c>
      <c r="C11" s="15">
        <v>1924</v>
      </c>
      <c r="D11" s="15">
        <v>2</v>
      </c>
      <c r="E11" s="15">
        <v>1887776</v>
      </c>
      <c r="F11" s="15">
        <v>21864</v>
      </c>
      <c r="G11" s="15" t="s">
        <v>3</v>
      </c>
      <c r="H11" s="15">
        <v>226</v>
      </c>
      <c r="I11" s="15" t="s">
        <v>3</v>
      </c>
      <c r="J11" s="15">
        <v>3</v>
      </c>
      <c r="K11" s="15" t="s">
        <v>3</v>
      </c>
      <c r="L11" s="15">
        <v>22093</v>
      </c>
      <c r="M11" s="15" t="s">
        <v>3</v>
      </c>
      <c r="N11" s="15">
        <v>1909869</v>
      </c>
      <c r="O11" s="15">
        <v>1930614</v>
      </c>
      <c r="P11" s="15" t="s">
        <v>3</v>
      </c>
      <c r="Q11" s="15">
        <v>11.6</v>
      </c>
      <c r="R11" s="15">
        <v>1</v>
      </c>
    </row>
    <row r="12" spans="1:19" ht="15.75" customHeight="1" x14ac:dyDescent="0.25">
      <c r="A12" s="15" t="s">
        <v>18</v>
      </c>
      <c r="B12" s="15" t="s">
        <v>19</v>
      </c>
      <c r="C12" s="15">
        <v>1925</v>
      </c>
      <c r="D12" s="15">
        <v>2</v>
      </c>
      <c r="E12" s="15">
        <v>1838296</v>
      </c>
      <c r="F12" s="15">
        <v>20645</v>
      </c>
      <c r="G12" s="15" t="s">
        <v>3</v>
      </c>
      <c r="H12" s="15">
        <v>230</v>
      </c>
      <c r="I12" s="15" t="s">
        <v>3</v>
      </c>
      <c r="J12" s="15">
        <v>3</v>
      </c>
      <c r="K12" s="15" t="s">
        <v>3</v>
      </c>
      <c r="L12" s="15">
        <v>20878</v>
      </c>
      <c r="M12" s="15" t="s">
        <v>3</v>
      </c>
      <c r="N12" s="15">
        <v>1859174</v>
      </c>
      <c r="O12" s="15">
        <v>1878880</v>
      </c>
      <c r="P12" s="15" t="s">
        <v>3</v>
      </c>
      <c r="Q12" s="15">
        <v>11.2</v>
      </c>
      <c r="R12" s="15">
        <v>1</v>
      </c>
    </row>
    <row r="13" spans="1:19" ht="15.75" customHeight="1" x14ac:dyDescent="0.25">
      <c r="A13" s="15" t="s">
        <v>18</v>
      </c>
      <c r="B13" s="15" t="s">
        <v>19</v>
      </c>
      <c r="C13" s="15">
        <v>1926</v>
      </c>
      <c r="D13" s="15">
        <v>2</v>
      </c>
      <c r="E13" s="15">
        <v>1815108</v>
      </c>
      <c r="F13" s="15">
        <v>20885</v>
      </c>
      <c r="G13" s="15" t="s">
        <v>3</v>
      </c>
      <c r="H13" s="15">
        <v>192</v>
      </c>
      <c r="I13" s="15" t="s">
        <v>3</v>
      </c>
      <c r="J13" s="15">
        <v>3</v>
      </c>
      <c r="K13" s="15" t="s">
        <v>3</v>
      </c>
      <c r="L13" s="15">
        <v>21080</v>
      </c>
      <c r="M13" s="15" t="s">
        <v>3</v>
      </c>
      <c r="N13" s="15">
        <v>1836188</v>
      </c>
      <c r="O13" s="15">
        <v>1856068</v>
      </c>
      <c r="P13" s="15" t="s">
        <v>3</v>
      </c>
      <c r="Q13" s="15">
        <v>11.5</v>
      </c>
      <c r="R13" s="15">
        <v>1</v>
      </c>
    </row>
    <row r="14" spans="1:19" ht="15.75" customHeight="1" x14ac:dyDescent="0.25">
      <c r="A14" s="15" t="s">
        <v>18</v>
      </c>
      <c r="B14" s="15" t="s">
        <v>19</v>
      </c>
      <c r="C14" s="15">
        <v>1927</v>
      </c>
      <c r="D14" s="15">
        <v>2</v>
      </c>
      <c r="E14" s="15">
        <v>2089508</v>
      </c>
      <c r="F14" s="15">
        <v>24658</v>
      </c>
      <c r="G14" s="15" t="s">
        <v>3</v>
      </c>
      <c r="H14" s="15">
        <v>233</v>
      </c>
      <c r="I14" s="15" t="s">
        <v>3</v>
      </c>
      <c r="J14" s="15">
        <v>6</v>
      </c>
      <c r="K14" s="15" t="s">
        <v>3</v>
      </c>
      <c r="L14" s="15">
        <v>24897</v>
      </c>
      <c r="M14" s="15" t="s">
        <v>3</v>
      </c>
      <c r="N14" s="15">
        <v>2114405</v>
      </c>
      <c r="O14" s="15">
        <v>2137836</v>
      </c>
      <c r="P14" s="15" t="s">
        <v>3</v>
      </c>
      <c r="Q14" s="15">
        <v>11.8</v>
      </c>
      <c r="R14" s="15">
        <v>1</v>
      </c>
    </row>
    <row r="15" spans="1:19" ht="15.75" customHeight="1" x14ac:dyDescent="0.25">
      <c r="A15" s="15" t="s">
        <v>18</v>
      </c>
      <c r="B15" s="15" t="s">
        <v>19</v>
      </c>
      <c r="C15" s="15">
        <v>1928</v>
      </c>
      <c r="D15" s="15">
        <v>2</v>
      </c>
      <c r="E15" s="15">
        <v>2182879</v>
      </c>
      <c r="F15" s="15">
        <v>25619</v>
      </c>
      <c r="G15" s="15" t="s">
        <v>3</v>
      </c>
      <c r="H15" s="15">
        <v>285</v>
      </c>
      <c r="I15" s="15" t="s">
        <v>3</v>
      </c>
      <c r="J15" s="15">
        <v>1</v>
      </c>
      <c r="K15" s="15" t="s">
        <v>3</v>
      </c>
      <c r="L15" s="15">
        <v>25905</v>
      </c>
      <c r="M15" s="15" t="s">
        <v>3</v>
      </c>
      <c r="N15" s="15">
        <v>2208784</v>
      </c>
      <c r="O15" s="15">
        <v>2233149</v>
      </c>
      <c r="P15" s="15" t="s">
        <v>3</v>
      </c>
      <c r="Q15" s="15">
        <v>11.7</v>
      </c>
      <c r="R15" s="15">
        <v>1</v>
      </c>
    </row>
    <row r="16" spans="1:19" ht="15.75" customHeight="1" x14ac:dyDescent="0.25">
      <c r="A16" s="15" t="s">
        <v>18</v>
      </c>
      <c r="B16" s="15" t="s">
        <v>19</v>
      </c>
      <c r="C16" s="15">
        <v>1929</v>
      </c>
      <c r="D16" s="15">
        <v>2</v>
      </c>
      <c r="E16" s="15">
        <v>2120415</v>
      </c>
      <c r="F16" s="15">
        <v>25358</v>
      </c>
      <c r="G16" s="15" t="s">
        <v>3</v>
      </c>
      <c r="H16" s="15">
        <v>240</v>
      </c>
      <c r="I16" s="15" t="s">
        <v>3</v>
      </c>
      <c r="J16" s="15">
        <v>3</v>
      </c>
      <c r="K16" s="15" t="s">
        <v>3</v>
      </c>
      <c r="L16" s="15">
        <v>25601</v>
      </c>
      <c r="M16" s="15" t="s">
        <v>3</v>
      </c>
      <c r="N16" s="15">
        <v>2146016</v>
      </c>
      <c r="O16" s="15">
        <v>2169920</v>
      </c>
      <c r="P16" s="15" t="s">
        <v>3</v>
      </c>
      <c r="Q16" s="15">
        <v>11.9</v>
      </c>
      <c r="R16" s="15">
        <v>1</v>
      </c>
    </row>
    <row r="17" spans="1:18" ht="15.75" customHeight="1" x14ac:dyDescent="0.25">
      <c r="A17" s="15" t="s">
        <v>18</v>
      </c>
      <c r="B17" s="15" t="s">
        <v>19</v>
      </c>
      <c r="C17" s="15">
        <v>1930</v>
      </c>
      <c r="D17" s="15">
        <v>2</v>
      </c>
      <c r="E17" s="15">
        <v>2155094</v>
      </c>
      <c r="F17" s="15">
        <v>24963</v>
      </c>
      <c r="G17" s="15" t="s">
        <v>3</v>
      </c>
      <c r="H17" s="15">
        <v>249</v>
      </c>
      <c r="I17" s="15" t="s">
        <v>3</v>
      </c>
      <c r="J17" s="15">
        <v>6</v>
      </c>
      <c r="K17" s="15" t="s">
        <v>3</v>
      </c>
      <c r="L17" s="15">
        <v>25218</v>
      </c>
      <c r="M17" s="15" t="s">
        <v>3</v>
      </c>
      <c r="N17" s="15">
        <v>2180312</v>
      </c>
      <c r="O17" s="15">
        <v>2203958</v>
      </c>
      <c r="P17" s="15" t="s">
        <v>3</v>
      </c>
      <c r="Q17" s="15">
        <v>11.6</v>
      </c>
      <c r="R17" s="15">
        <v>1</v>
      </c>
    </row>
    <row r="18" spans="1:18" ht="15.75" customHeight="1" x14ac:dyDescent="0.25">
      <c r="A18" s="15" t="s">
        <v>18</v>
      </c>
      <c r="B18" s="15" t="s">
        <v>19</v>
      </c>
      <c r="C18" s="15">
        <v>1931</v>
      </c>
      <c r="D18" s="15">
        <v>2</v>
      </c>
      <c r="E18" s="15">
        <v>2065803</v>
      </c>
      <c r="F18" s="15">
        <v>24049</v>
      </c>
      <c r="G18" s="15" t="s">
        <v>3</v>
      </c>
      <c r="H18" s="15">
        <v>232</v>
      </c>
      <c r="I18" s="15" t="s">
        <v>3</v>
      </c>
      <c r="J18" s="15">
        <v>2</v>
      </c>
      <c r="K18" s="15" t="s">
        <v>3</v>
      </c>
      <c r="L18" s="15">
        <v>24283</v>
      </c>
      <c r="M18" s="15">
        <v>46957</v>
      </c>
      <c r="N18" s="15">
        <v>2090086</v>
      </c>
      <c r="O18" s="15">
        <v>2112760</v>
      </c>
      <c r="P18" s="15" t="s">
        <v>3</v>
      </c>
      <c r="Q18" s="15">
        <v>11.6</v>
      </c>
      <c r="R18" s="15">
        <v>1</v>
      </c>
    </row>
    <row r="19" spans="1:18" ht="15.75" customHeight="1" x14ac:dyDescent="0.25">
      <c r="A19" s="15" t="s">
        <v>18</v>
      </c>
      <c r="B19" s="15" t="s">
        <v>19</v>
      </c>
      <c r="C19" s="15">
        <v>1931</v>
      </c>
      <c r="D19" s="15">
        <v>1</v>
      </c>
      <c r="E19" s="15" t="s">
        <v>3</v>
      </c>
      <c r="F19" s="15">
        <v>25083</v>
      </c>
      <c r="G19" s="15">
        <v>50166</v>
      </c>
      <c r="H19" s="15">
        <v>253</v>
      </c>
      <c r="I19" s="15">
        <v>759</v>
      </c>
      <c r="J19" s="15">
        <v>2</v>
      </c>
      <c r="K19" s="15">
        <v>8</v>
      </c>
      <c r="L19" s="15" t="s">
        <v>3</v>
      </c>
      <c r="M19" s="15" t="s">
        <v>3</v>
      </c>
      <c r="N19" s="15" t="s">
        <v>3</v>
      </c>
      <c r="O19" s="15">
        <f>2112760+80616</f>
        <v>2193376</v>
      </c>
      <c r="P19" s="15" t="s">
        <v>3</v>
      </c>
      <c r="Q19" s="15" t="s">
        <v>3</v>
      </c>
      <c r="R19" s="15" t="s">
        <v>58</v>
      </c>
    </row>
    <row r="20" spans="1:18" ht="15.75" customHeight="1" x14ac:dyDescent="0.25">
      <c r="A20" s="15" t="s">
        <v>18</v>
      </c>
      <c r="B20" s="15" t="s">
        <v>19</v>
      </c>
      <c r="C20" s="15">
        <v>1932</v>
      </c>
      <c r="D20" s="15">
        <v>2</v>
      </c>
      <c r="E20" s="15">
        <v>2027134</v>
      </c>
      <c r="F20" s="15">
        <v>24020</v>
      </c>
      <c r="G20" s="15" t="s">
        <v>3</v>
      </c>
      <c r="H20" s="15">
        <v>236</v>
      </c>
      <c r="I20" s="15" t="s">
        <v>3</v>
      </c>
      <c r="J20" s="15">
        <v>6</v>
      </c>
      <c r="K20" s="15" t="s">
        <v>3</v>
      </c>
      <c r="L20" s="15">
        <v>24262</v>
      </c>
      <c r="M20" s="15">
        <v>46908</v>
      </c>
      <c r="N20" s="15">
        <v>2051396</v>
      </c>
      <c r="O20" s="15">
        <v>2074042</v>
      </c>
      <c r="P20" s="15" t="s">
        <v>3</v>
      </c>
      <c r="Q20" s="15">
        <v>11.8</v>
      </c>
      <c r="R20" s="15">
        <v>1</v>
      </c>
    </row>
    <row r="21" spans="1:18" ht="15.75" customHeight="1" x14ac:dyDescent="0.25">
      <c r="A21" s="15" t="s">
        <v>18</v>
      </c>
      <c r="B21" s="15" t="s">
        <v>19</v>
      </c>
      <c r="C21" s="15">
        <v>1932</v>
      </c>
      <c r="D21" s="15">
        <v>1</v>
      </c>
      <c r="E21" s="15" t="s">
        <v>3</v>
      </c>
      <c r="F21" s="15">
        <v>25089</v>
      </c>
      <c r="G21" s="15">
        <v>50178</v>
      </c>
      <c r="H21" s="15">
        <v>254</v>
      </c>
      <c r="I21" s="15">
        <v>762</v>
      </c>
      <c r="J21" s="15">
        <v>6</v>
      </c>
      <c r="K21" s="15">
        <v>24</v>
      </c>
      <c r="L21" s="15" t="s">
        <v>3</v>
      </c>
      <c r="M21" s="15" t="s">
        <v>3</v>
      </c>
      <c r="N21" s="15" t="s">
        <v>3</v>
      </c>
      <c r="O21" s="15">
        <f>2074042+78351</f>
        <v>2152393</v>
      </c>
      <c r="P21" s="15" t="s">
        <v>3</v>
      </c>
      <c r="Q21" s="15" t="s">
        <v>3</v>
      </c>
      <c r="R21" s="15" t="s">
        <v>58</v>
      </c>
    </row>
    <row r="22" spans="1:18" ht="15.75" customHeight="1" x14ac:dyDescent="0.25">
      <c r="A22" s="15" t="s">
        <v>18</v>
      </c>
      <c r="B22" s="15" t="s">
        <v>19</v>
      </c>
      <c r="C22" s="15">
        <v>1933</v>
      </c>
      <c r="D22" s="15">
        <v>2</v>
      </c>
      <c r="E22" s="15">
        <v>2034466</v>
      </c>
      <c r="F22" s="15">
        <v>23995</v>
      </c>
      <c r="G22" s="15" t="s">
        <v>3</v>
      </c>
      <c r="H22" s="15">
        <v>220</v>
      </c>
      <c r="I22" s="15" t="s">
        <v>3</v>
      </c>
      <c r="J22" s="15">
        <v>5</v>
      </c>
      <c r="K22" s="15" t="s">
        <v>3</v>
      </c>
      <c r="L22" s="15">
        <v>24220</v>
      </c>
      <c r="M22" s="15">
        <v>46766</v>
      </c>
      <c r="N22" s="15">
        <v>2058686</v>
      </c>
      <c r="O22" s="15">
        <v>2081232</v>
      </c>
      <c r="P22" s="15" t="s">
        <v>3</v>
      </c>
      <c r="Q22" s="15">
        <v>11.8</v>
      </c>
      <c r="R22" s="15">
        <v>1</v>
      </c>
    </row>
    <row r="23" spans="1:18" ht="15.75" customHeight="1" x14ac:dyDescent="0.25">
      <c r="A23" s="15" t="s">
        <v>18</v>
      </c>
      <c r="B23" s="15" t="s">
        <v>19</v>
      </c>
      <c r="C23" s="15">
        <v>1933</v>
      </c>
      <c r="D23" s="15">
        <v>1</v>
      </c>
      <c r="E23" s="15" t="s">
        <v>3</v>
      </c>
      <c r="F23" s="15">
        <v>24999</v>
      </c>
      <c r="G23" s="15">
        <v>49998</v>
      </c>
      <c r="H23" s="15">
        <v>234</v>
      </c>
      <c r="I23" s="15">
        <v>702</v>
      </c>
      <c r="J23" s="15">
        <v>5</v>
      </c>
      <c r="K23" s="15">
        <v>20</v>
      </c>
      <c r="L23" s="15" t="s">
        <v>3</v>
      </c>
      <c r="M23" s="15" t="s">
        <v>3</v>
      </c>
      <c r="N23" s="15" t="s">
        <v>3</v>
      </c>
      <c r="O23" s="15">
        <f>2081232+77059</f>
        <v>2158291</v>
      </c>
      <c r="P23" s="15" t="s">
        <v>3</v>
      </c>
      <c r="Q23" s="15" t="s">
        <v>3</v>
      </c>
      <c r="R23" s="15" t="s">
        <v>58</v>
      </c>
    </row>
    <row r="24" spans="1:18" ht="15.75" customHeight="1" x14ac:dyDescent="0.25">
      <c r="A24" s="15" t="s">
        <v>18</v>
      </c>
      <c r="B24" s="15" t="s">
        <v>19</v>
      </c>
      <c r="C24" s="15">
        <v>1934</v>
      </c>
      <c r="D24" s="15">
        <v>2</v>
      </c>
      <c r="E24" s="15">
        <v>2118997</v>
      </c>
      <c r="F24" s="15">
        <v>24866</v>
      </c>
      <c r="G24" s="15" t="s">
        <v>3</v>
      </c>
      <c r="H24" s="15">
        <v>242</v>
      </c>
      <c r="I24" s="15" t="s">
        <v>3</v>
      </c>
      <c r="J24" s="15">
        <v>6</v>
      </c>
      <c r="K24" s="15" t="s">
        <v>3</v>
      </c>
      <c r="L24" s="15">
        <v>25114</v>
      </c>
      <c r="M24" s="15">
        <v>48639</v>
      </c>
      <c r="N24" s="15">
        <v>2144111</v>
      </c>
      <c r="O24" s="15">
        <v>2167636</v>
      </c>
      <c r="P24" s="15" t="s">
        <v>3</v>
      </c>
      <c r="Q24" s="15">
        <v>11.7</v>
      </c>
      <c r="R24" s="15">
        <v>1</v>
      </c>
    </row>
    <row r="25" spans="1:18" ht="15.75" customHeight="1" x14ac:dyDescent="0.25">
      <c r="A25" s="15" t="s">
        <v>18</v>
      </c>
      <c r="B25" s="15" t="s">
        <v>19</v>
      </c>
      <c r="C25" s="15">
        <v>1934</v>
      </c>
      <c r="D25" s="15">
        <v>1</v>
      </c>
      <c r="E25" s="15" t="s">
        <v>3</v>
      </c>
      <c r="F25" s="15">
        <v>26012</v>
      </c>
      <c r="G25" s="15">
        <v>52024</v>
      </c>
      <c r="H25" s="15">
        <v>266</v>
      </c>
      <c r="I25" s="15">
        <v>798</v>
      </c>
      <c r="J25" s="15">
        <v>6</v>
      </c>
      <c r="K25" s="15">
        <v>24</v>
      </c>
      <c r="L25" s="15" t="s">
        <v>3</v>
      </c>
      <c r="M25" s="15" t="s">
        <v>3</v>
      </c>
      <c r="N25" s="15" t="s">
        <v>3</v>
      </c>
      <c r="O25" s="15">
        <f>2167636+78503</f>
        <v>2246139</v>
      </c>
      <c r="P25" s="15" t="s">
        <v>3</v>
      </c>
      <c r="Q25" s="15" t="s">
        <v>3</v>
      </c>
      <c r="R25" s="15" t="s">
        <v>58</v>
      </c>
    </row>
    <row r="26" spans="1:18" ht="15.75" customHeight="1" x14ac:dyDescent="0.25">
      <c r="A26" s="15" t="s">
        <v>18</v>
      </c>
      <c r="B26" s="15" t="s">
        <v>19</v>
      </c>
      <c r="C26" s="15">
        <v>1935</v>
      </c>
      <c r="D26" s="15">
        <v>2</v>
      </c>
      <c r="E26" s="15">
        <v>2107903</v>
      </c>
      <c r="F26" s="15">
        <v>24167</v>
      </c>
      <c r="G26" s="15" t="s">
        <v>3</v>
      </c>
      <c r="H26" s="15">
        <v>232</v>
      </c>
      <c r="I26" s="15" t="s">
        <v>3</v>
      </c>
      <c r="J26" s="15">
        <v>0</v>
      </c>
      <c r="K26" s="15" t="s">
        <v>3</v>
      </c>
      <c r="L26" s="15">
        <v>24399</v>
      </c>
      <c r="M26" s="15">
        <v>47202</v>
      </c>
      <c r="N26" s="15">
        <v>2132302</v>
      </c>
      <c r="O26" s="15">
        <v>2155105</v>
      </c>
      <c r="P26" s="15" t="s">
        <v>3</v>
      </c>
      <c r="Q26" s="15">
        <v>11.4</v>
      </c>
      <c r="R26" s="15">
        <v>1</v>
      </c>
    </row>
    <row r="27" spans="1:18" ht="15.75" customHeight="1" x14ac:dyDescent="0.25">
      <c r="A27" s="15" t="s">
        <v>18</v>
      </c>
      <c r="B27" s="15" t="s">
        <v>19</v>
      </c>
      <c r="C27" s="15">
        <v>1935</v>
      </c>
      <c r="D27" s="15">
        <v>1</v>
      </c>
      <c r="E27" s="15" t="s">
        <v>3</v>
      </c>
      <c r="F27" s="15">
        <v>25218</v>
      </c>
      <c r="G27" s="15">
        <v>50436</v>
      </c>
      <c r="H27" s="15">
        <v>246</v>
      </c>
      <c r="I27" s="15">
        <v>738</v>
      </c>
      <c r="J27" s="15">
        <v>0</v>
      </c>
      <c r="K27" s="15">
        <v>0</v>
      </c>
      <c r="L27" s="15" t="s">
        <v>3</v>
      </c>
      <c r="M27" s="15" t="s">
        <v>3</v>
      </c>
      <c r="N27" s="15" t="s">
        <v>3</v>
      </c>
      <c r="O27" s="15">
        <f>2155105+77119</f>
        <v>2232224</v>
      </c>
      <c r="P27" s="15" t="s">
        <v>3</v>
      </c>
      <c r="Q27" s="15" t="s">
        <v>3</v>
      </c>
      <c r="R27" s="15" t="s">
        <v>58</v>
      </c>
    </row>
    <row r="28" spans="1:18" ht="15.75" customHeight="1" x14ac:dyDescent="0.25">
      <c r="A28" s="15" t="s">
        <v>18</v>
      </c>
      <c r="B28" s="15" t="s">
        <v>19</v>
      </c>
      <c r="C28" s="15">
        <v>1936</v>
      </c>
      <c r="D28" s="15">
        <v>2</v>
      </c>
      <c r="E28" s="15">
        <v>2096667</v>
      </c>
      <c r="F28" s="15">
        <v>24569</v>
      </c>
      <c r="G28" s="15" t="s">
        <v>3</v>
      </c>
      <c r="H28" s="15">
        <v>277</v>
      </c>
      <c r="I28" s="15" t="s">
        <v>3</v>
      </c>
      <c r="J28" s="15">
        <v>6</v>
      </c>
      <c r="K28" s="15" t="s">
        <v>3</v>
      </c>
      <c r="L28" s="15">
        <v>24852</v>
      </c>
      <c r="M28" s="15">
        <v>48123</v>
      </c>
      <c r="N28" s="15">
        <v>2121519</v>
      </c>
      <c r="O28" s="15">
        <v>2144790</v>
      </c>
      <c r="P28" s="15" t="s">
        <v>3</v>
      </c>
      <c r="Q28" s="15">
        <v>11.7</v>
      </c>
      <c r="R28" s="15">
        <v>1</v>
      </c>
    </row>
    <row r="29" spans="1:18" ht="15.75" customHeight="1" x14ac:dyDescent="0.25">
      <c r="A29" s="15" t="s">
        <v>18</v>
      </c>
      <c r="B29" s="15" t="s">
        <v>19</v>
      </c>
      <c r="C29" s="15">
        <v>1936</v>
      </c>
      <c r="D29" s="15">
        <v>1</v>
      </c>
      <c r="E29" s="15" t="s">
        <v>3</v>
      </c>
      <c r="F29" s="15">
        <v>25583</v>
      </c>
      <c r="G29" s="15">
        <v>51166</v>
      </c>
      <c r="H29" s="15">
        <v>297</v>
      </c>
      <c r="I29" s="15">
        <v>891</v>
      </c>
      <c r="J29" s="15">
        <v>7</v>
      </c>
      <c r="K29" s="15">
        <v>28</v>
      </c>
      <c r="L29" s="15" t="s">
        <v>3</v>
      </c>
      <c r="M29" s="15" t="s">
        <v>3</v>
      </c>
      <c r="N29" s="15" t="s">
        <v>3</v>
      </c>
      <c r="O29" s="15">
        <f>2144790+73735</f>
        <v>2218525</v>
      </c>
      <c r="P29" s="15" t="s">
        <v>3</v>
      </c>
      <c r="Q29" s="15" t="s">
        <v>3</v>
      </c>
      <c r="R29" s="15" t="s">
        <v>58</v>
      </c>
    </row>
    <row r="30" spans="1:18" ht="15.75" customHeight="1" x14ac:dyDescent="0.25">
      <c r="A30" s="15" t="s">
        <v>18</v>
      </c>
      <c r="B30" s="15" t="s">
        <v>19</v>
      </c>
      <c r="C30" s="15">
        <v>1937</v>
      </c>
      <c r="D30" s="15">
        <v>2</v>
      </c>
      <c r="E30" s="15">
        <v>2154719</v>
      </c>
      <c r="F30" s="15">
        <v>24881</v>
      </c>
      <c r="G30" s="15" t="s">
        <v>3</v>
      </c>
      <c r="H30" s="15">
        <v>219</v>
      </c>
      <c r="I30" s="15" t="s">
        <v>3</v>
      </c>
      <c r="J30" s="15">
        <v>4</v>
      </c>
      <c r="K30" s="15" t="s">
        <v>3</v>
      </c>
      <c r="L30" s="15">
        <v>25104</v>
      </c>
      <c r="M30" s="15" t="s">
        <v>3</v>
      </c>
      <c r="N30" s="15">
        <v>2179823</v>
      </c>
      <c r="O30" s="15">
        <v>2203337</v>
      </c>
      <c r="P30" s="15" t="s">
        <v>3</v>
      </c>
      <c r="Q30" s="15">
        <v>11.5</v>
      </c>
      <c r="R30" s="15">
        <v>1</v>
      </c>
    </row>
    <row r="31" spans="1:18" ht="15.75" customHeight="1" x14ac:dyDescent="0.25">
      <c r="A31" s="15" t="s">
        <v>18</v>
      </c>
      <c r="B31" s="15" t="s">
        <v>19</v>
      </c>
      <c r="C31" s="15">
        <v>1937</v>
      </c>
      <c r="D31" s="15">
        <v>1</v>
      </c>
      <c r="E31" s="15" t="s">
        <v>3</v>
      </c>
      <c r="F31" s="15">
        <v>25908</v>
      </c>
      <c r="G31" s="15" t="s">
        <v>3</v>
      </c>
      <c r="H31" s="15">
        <v>237</v>
      </c>
      <c r="I31" s="15" t="s">
        <v>3</v>
      </c>
      <c r="J31" s="15">
        <v>4</v>
      </c>
      <c r="K31" s="15" t="s">
        <v>3</v>
      </c>
      <c r="L31" s="15" t="s">
        <v>3</v>
      </c>
      <c r="M31" s="15" t="s">
        <v>3</v>
      </c>
      <c r="N31" s="15" t="s">
        <v>3</v>
      </c>
      <c r="O31" s="15">
        <f>2203337+73609</f>
        <v>2276946</v>
      </c>
      <c r="P31" s="15" t="s">
        <v>3</v>
      </c>
      <c r="Q31" s="15" t="s">
        <v>3</v>
      </c>
      <c r="R31" s="15" t="s">
        <v>58</v>
      </c>
    </row>
    <row r="32" spans="1:18" ht="15.75" customHeight="1" x14ac:dyDescent="0.25">
      <c r="A32" s="15" t="s">
        <v>18</v>
      </c>
      <c r="B32" s="15" t="s">
        <v>19</v>
      </c>
      <c r="C32" s="15">
        <v>1938</v>
      </c>
      <c r="D32" s="15">
        <v>2</v>
      </c>
      <c r="E32" s="15">
        <v>2236863</v>
      </c>
      <c r="F32" s="15">
        <v>25644</v>
      </c>
      <c r="G32" s="15" t="s">
        <v>3</v>
      </c>
      <c r="H32" s="15">
        <v>262</v>
      </c>
      <c r="I32" s="15" t="s">
        <v>3</v>
      </c>
      <c r="J32" s="15">
        <v>1</v>
      </c>
      <c r="K32" s="15" t="s">
        <v>3</v>
      </c>
      <c r="L32" s="15">
        <v>25907</v>
      </c>
      <c r="M32" s="15" t="s">
        <v>3</v>
      </c>
      <c r="N32" s="15">
        <v>2262770</v>
      </c>
      <c r="O32" s="15">
        <v>2286962</v>
      </c>
      <c r="P32" s="15" t="s">
        <v>3</v>
      </c>
      <c r="Q32" s="15">
        <v>11.4</v>
      </c>
      <c r="R32" s="15">
        <v>1</v>
      </c>
    </row>
    <row r="33" spans="1:18" ht="15.75" customHeight="1" x14ac:dyDescent="0.25">
      <c r="A33" s="15" t="s">
        <v>18</v>
      </c>
      <c r="B33" s="15" t="s">
        <v>19</v>
      </c>
      <c r="C33" s="15">
        <v>1938</v>
      </c>
      <c r="D33" s="15">
        <v>1</v>
      </c>
      <c r="E33" s="15" t="s">
        <v>3</v>
      </c>
      <c r="F33" s="15">
        <v>26749</v>
      </c>
      <c r="G33" s="15" t="s">
        <v>3</v>
      </c>
      <c r="H33" s="15">
        <v>280</v>
      </c>
      <c r="I33" s="15" t="s">
        <v>3</v>
      </c>
      <c r="J33" s="15">
        <v>2</v>
      </c>
      <c r="K33" s="15" t="s">
        <v>3</v>
      </c>
      <c r="L33" s="15" t="s">
        <v>3</v>
      </c>
      <c r="M33" s="15" t="s">
        <v>3</v>
      </c>
      <c r="N33" s="15" t="s">
        <v>3</v>
      </c>
      <c r="O33" s="15">
        <f>2286962+73467</f>
        <v>2360429</v>
      </c>
      <c r="P33" s="15" t="s">
        <v>3</v>
      </c>
      <c r="Q33" s="15" t="s">
        <v>3</v>
      </c>
      <c r="R33" s="15" t="s">
        <v>58</v>
      </c>
    </row>
    <row r="34" spans="1:18" ht="15.75" customHeight="1" x14ac:dyDescent="0.25">
      <c r="A34" s="15" t="s">
        <v>18</v>
      </c>
      <c r="B34" s="15" t="s">
        <v>19</v>
      </c>
      <c r="C34" s="15">
        <v>1939</v>
      </c>
      <c r="D34" s="15">
        <v>2</v>
      </c>
      <c r="E34" s="15">
        <v>2216857</v>
      </c>
      <c r="F34" s="15">
        <v>24908</v>
      </c>
      <c r="G34" s="15" t="s">
        <v>3</v>
      </c>
      <c r="H34" s="15">
        <v>274</v>
      </c>
      <c r="I34" s="15" t="s">
        <v>3</v>
      </c>
      <c r="J34" s="15">
        <v>2</v>
      </c>
      <c r="K34" s="15" t="s">
        <v>3</v>
      </c>
      <c r="L34" s="15">
        <v>25184</v>
      </c>
      <c r="M34" s="15" t="s">
        <v>3</v>
      </c>
      <c r="N34" s="15">
        <v>2242041</v>
      </c>
      <c r="O34" s="15">
        <v>2266588</v>
      </c>
      <c r="P34" s="15" t="s">
        <v>3</v>
      </c>
      <c r="Q34" s="15">
        <v>11.2</v>
      </c>
      <c r="R34" s="15">
        <v>1</v>
      </c>
    </row>
    <row r="35" spans="1:18" ht="15.75" customHeight="1" x14ac:dyDescent="0.25">
      <c r="A35" s="15" t="s">
        <v>18</v>
      </c>
      <c r="B35" s="15" t="s">
        <v>19</v>
      </c>
      <c r="C35" s="15">
        <v>1939</v>
      </c>
      <c r="D35" s="15">
        <v>1</v>
      </c>
      <c r="E35" s="15" t="s">
        <v>3</v>
      </c>
      <c r="F35" s="15">
        <v>25913</v>
      </c>
      <c r="G35" s="15" t="s">
        <v>3</v>
      </c>
      <c r="H35" s="15">
        <v>292</v>
      </c>
      <c r="I35" s="15" t="s">
        <v>3</v>
      </c>
      <c r="J35" s="15">
        <v>2</v>
      </c>
      <c r="K35" s="15" t="s">
        <v>3</v>
      </c>
      <c r="L35" s="15" t="s">
        <v>3</v>
      </c>
      <c r="M35" s="15" t="s">
        <v>3</v>
      </c>
      <c r="N35" s="15" t="s">
        <v>3</v>
      </c>
      <c r="O35" s="15">
        <f>2265588+72598</f>
        <v>2338186</v>
      </c>
      <c r="P35" s="15" t="s">
        <v>3</v>
      </c>
      <c r="Q35" s="15" t="s">
        <v>3</v>
      </c>
      <c r="R35" s="15" t="s">
        <v>58</v>
      </c>
    </row>
    <row r="36" spans="1:18" ht="15.75" customHeight="1" x14ac:dyDescent="0.25">
      <c r="A36" s="15" t="s">
        <v>18</v>
      </c>
      <c r="B36" s="15" t="s">
        <v>19</v>
      </c>
      <c r="C36" s="15">
        <v>1940</v>
      </c>
      <c r="D36" s="15">
        <v>2</v>
      </c>
      <c r="E36" s="15">
        <v>2311378</v>
      </c>
      <c r="F36" s="15">
        <v>24976</v>
      </c>
      <c r="G36" s="15" t="s">
        <v>3</v>
      </c>
      <c r="H36" s="15">
        <v>247</v>
      </c>
      <c r="I36" s="15" t="s">
        <v>3</v>
      </c>
      <c r="J36" s="15">
        <v>3</v>
      </c>
      <c r="K36" s="15" t="s">
        <v>3</v>
      </c>
      <c r="L36" s="15">
        <v>25226</v>
      </c>
      <c r="M36" s="15" t="s">
        <v>3</v>
      </c>
      <c r="N36" s="15">
        <v>2336604</v>
      </c>
      <c r="O36" s="15">
        <v>2360399</v>
      </c>
      <c r="P36" s="15" t="s">
        <v>3</v>
      </c>
      <c r="Q36" s="15">
        <v>10.8</v>
      </c>
      <c r="R36" s="15">
        <v>1</v>
      </c>
    </row>
    <row r="37" spans="1:18" ht="15.75" customHeight="1" x14ac:dyDescent="0.25">
      <c r="A37" s="15" t="s">
        <v>18</v>
      </c>
      <c r="B37" s="15" t="s">
        <v>19</v>
      </c>
      <c r="C37" s="15">
        <v>1940</v>
      </c>
      <c r="D37" s="15">
        <v>1</v>
      </c>
      <c r="E37" s="15" t="s">
        <v>3</v>
      </c>
      <c r="F37" s="15">
        <v>26036</v>
      </c>
      <c r="G37" s="15" t="s">
        <v>3</v>
      </c>
      <c r="H37" s="15">
        <v>263</v>
      </c>
      <c r="I37" s="15" t="s">
        <v>3</v>
      </c>
      <c r="J37" s="15">
        <v>3</v>
      </c>
      <c r="K37" s="15" t="s">
        <v>3</v>
      </c>
      <c r="L37" s="15" t="s">
        <v>3</v>
      </c>
      <c r="M37" s="15" t="s">
        <v>3</v>
      </c>
      <c r="N37" s="15" t="s">
        <v>3</v>
      </c>
      <c r="O37" s="15">
        <f>2360399+73802</f>
        <v>2434201</v>
      </c>
      <c r="P37" s="15" t="s">
        <v>3</v>
      </c>
      <c r="Q37" s="15" t="s">
        <v>3</v>
      </c>
      <c r="R37" s="15" t="s">
        <v>58</v>
      </c>
    </row>
    <row r="38" spans="1:18" ht="15.75" customHeight="1" x14ac:dyDescent="0.25">
      <c r="A38" s="15" t="s">
        <v>18</v>
      </c>
      <c r="B38" s="15" t="s">
        <v>19</v>
      </c>
      <c r="C38" s="15">
        <v>1941</v>
      </c>
      <c r="D38" s="15">
        <v>2</v>
      </c>
      <c r="E38" s="15">
        <v>2461311</v>
      </c>
      <c r="F38" s="15">
        <v>26443</v>
      </c>
      <c r="G38" s="15" t="s">
        <v>3</v>
      </c>
      <c r="H38" s="15">
        <v>256</v>
      </c>
      <c r="I38" s="15" t="s">
        <v>3</v>
      </c>
      <c r="J38" s="15">
        <v>12</v>
      </c>
      <c r="K38" s="15" t="s">
        <v>3</v>
      </c>
      <c r="L38" s="15">
        <v>26711</v>
      </c>
      <c r="M38" s="15" t="s">
        <v>3</v>
      </c>
      <c r="N38" s="15">
        <v>2488022</v>
      </c>
      <c r="O38" s="15">
        <v>2513427</v>
      </c>
      <c r="P38" s="15" t="s">
        <v>3</v>
      </c>
      <c r="Q38" s="15">
        <v>10.7</v>
      </c>
      <c r="R38" s="15">
        <v>1</v>
      </c>
    </row>
    <row r="39" spans="1:18" ht="15.75" customHeight="1" x14ac:dyDescent="0.25">
      <c r="A39" s="15" t="s">
        <v>18</v>
      </c>
      <c r="B39" s="15" t="s">
        <v>19</v>
      </c>
      <c r="C39" s="15">
        <v>1941</v>
      </c>
      <c r="D39" s="15">
        <v>1</v>
      </c>
      <c r="E39" s="15" t="s">
        <v>3</v>
      </c>
      <c r="F39" s="15">
        <v>27439</v>
      </c>
      <c r="G39" s="15" t="s">
        <v>3</v>
      </c>
      <c r="H39" s="15">
        <v>270</v>
      </c>
      <c r="I39" s="15" t="s">
        <v>3</v>
      </c>
      <c r="J39" s="15">
        <v>12</v>
      </c>
      <c r="K39" s="15" t="s">
        <v>3</v>
      </c>
      <c r="L39" s="15" t="s">
        <v>3</v>
      </c>
      <c r="M39" s="15" t="s">
        <v>3</v>
      </c>
      <c r="N39" s="15" t="s">
        <v>3</v>
      </c>
      <c r="O39" s="15">
        <f>2513427+75133</f>
        <v>2588560</v>
      </c>
      <c r="P39" s="15" t="s">
        <v>3</v>
      </c>
      <c r="Q39" s="15" t="s">
        <v>3</v>
      </c>
      <c r="R39" s="15" t="s">
        <v>58</v>
      </c>
    </row>
    <row r="40" spans="1:18" ht="15.75" customHeight="1" x14ac:dyDescent="0.25">
      <c r="A40" s="15" t="s">
        <v>18</v>
      </c>
      <c r="B40" s="15" t="s">
        <v>19</v>
      </c>
      <c r="C40" s="15">
        <v>1942</v>
      </c>
      <c r="D40" s="15">
        <v>2</v>
      </c>
      <c r="E40" s="15">
        <v>2751568</v>
      </c>
      <c r="F40" s="15">
        <v>29139</v>
      </c>
      <c r="G40" s="15" t="s">
        <v>3</v>
      </c>
      <c r="H40" s="15">
        <v>277</v>
      </c>
      <c r="I40" s="15" t="s">
        <v>3</v>
      </c>
      <c r="J40" s="15">
        <v>5</v>
      </c>
      <c r="K40" s="15" t="s">
        <v>3</v>
      </c>
      <c r="L40" s="15">
        <v>29421</v>
      </c>
      <c r="M40" s="15" t="s">
        <v>3</v>
      </c>
      <c r="N40" s="15">
        <v>2780989</v>
      </c>
      <c r="O40" s="15">
        <v>2808996</v>
      </c>
      <c r="P40" s="15" t="s">
        <v>3</v>
      </c>
      <c r="Q40" s="15">
        <v>10.6</v>
      </c>
      <c r="R40" s="15">
        <v>1</v>
      </c>
    </row>
    <row r="41" spans="1:18" ht="15.75" customHeight="1" x14ac:dyDescent="0.25">
      <c r="A41" s="15" t="s">
        <v>18</v>
      </c>
      <c r="B41" s="15" t="s">
        <v>19</v>
      </c>
      <c r="C41" s="15">
        <v>1942</v>
      </c>
      <c r="D41" s="15">
        <v>1</v>
      </c>
      <c r="E41" s="15" t="s">
        <v>3</v>
      </c>
      <c r="F41" s="15">
        <v>30156</v>
      </c>
      <c r="G41" s="15" t="s">
        <v>3</v>
      </c>
      <c r="H41" s="15">
        <v>291</v>
      </c>
      <c r="I41" s="15" t="s">
        <v>3</v>
      </c>
      <c r="J41" s="15">
        <v>5</v>
      </c>
      <c r="K41" s="15" t="s">
        <v>3</v>
      </c>
      <c r="L41" s="15" t="s">
        <v>3</v>
      </c>
      <c r="M41" s="15" t="s">
        <v>3</v>
      </c>
      <c r="N41" s="15" t="s">
        <v>3</v>
      </c>
      <c r="O41" s="15">
        <f>2808996+79174</f>
        <v>2888170</v>
      </c>
      <c r="P41" s="15" t="s">
        <v>3</v>
      </c>
      <c r="Q41" s="15" t="s">
        <v>3</v>
      </c>
      <c r="R41" s="15" t="s">
        <v>58</v>
      </c>
    </row>
    <row r="42" spans="1:18" ht="15.75" customHeight="1" x14ac:dyDescent="0.25">
      <c r="A42" s="15" t="s">
        <v>18</v>
      </c>
      <c r="B42" s="15" t="s">
        <v>19</v>
      </c>
      <c r="C42" s="15">
        <v>1943</v>
      </c>
      <c r="D42" s="15">
        <v>2</v>
      </c>
      <c r="E42" s="15">
        <v>2876669</v>
      </c>
      <c r="F42" s="15">
        <v>29470</v>
      </c>
      <c r="G42" s="15" t="s">
        <v>3</v>
      </c>
      <c r="H42" s="15">
        <v>316</v>
      </c>
      <c r="I42" s="15" t="s">
        <v>3</v>
      </c>
      <c r="J42" s="15">
        <v>1</v>
      </c>
      <c r="K42" s="15" t="s">
        <v>3</v>
      </c>
      <c r="L42" s="15">
        <v>29787</v>
      </c>
      <c r="M42" s="15" t="s">
        <v>3</v>
      </c>
      <c r="N42" s="15">
        <v>2906456</v>
      </c>
      <c r="O42" s="15">
        <v>2934860</v>
      </c>
      <c r="P42" s="15" t="s">
        <v>3</v>
      </c>
      <c r="Q42" s="15">
        <v>10.199999999999999</v>
      </c>
      <c r="R42" s="15">
        <v>1</v>
      </c>
    </row>
    <row r="43" spans="1:18" ht="15.75" customHeight="1" x14ac:dyDescent="0.25">
      <c r="A43" s="15" t="s">
        <v>18</v>
      </c>
      <c r="B43" s="15" t="s">
        <v>19</v>
      </c>
      <c r="C43" s="15">
        <v>1943</v>
      </c>
      <c r="D43" s="15">
        <v>1</v>
      </c>
      <c r="E43" s="15" t="s">
        <v>3</v>
      </c>
      <c r="F43" s="15">
        <v>30459</v>
      </c>
      <c r="G43" s="15" t="s">
        <v>3</v>
      </c>
      <c r="H43" s="15">
        <v>325</v>
      </c>
      <c r="I43" s="15" t="s">
        <v>3</v>
      </c>
      <c r="J43" s="15">
        <v>1</v>
      </c>
      <c r="K43" s="15" t="s">
        <v>3</v>
      </c>
      <c r="L43" s="15" t="s">
        <v>3</v>
      </c>
      <c r="M43" s="15" t="s">
        <v>3</v>
      </c>
      <c r="N43" s="15" t="s">
        <v>3</v>
      </c>
      <c r="O43" s="15">
        <f>2934860+78485</f>
        <v>3013345</v>
      </c>
      <c r="P43" s="15" t="s">
        <v>3</v>
      </c>
      <c r="Q43" s="15" t="s">
        <v>3</v>
      </c>
      <c r="R43" s="15" t="s">
        <v>58</v>
      </c>
    </row>
    <row r="44" spans="1:18" ht="15.75" customHeight="1" x14ac:dyDescent="0.25">
      <c r="A44" s="15" t="s">
        <v>18</v>
      </c>
      <c r="B44" s="15" t="s">
        <v>19</v>
      </c>
      <c r="C44" s="15">
        <v>1944</v>
      </c>
      <c r="D44" s="15">
        <v>2</v>
      </c>
      <c r="E44" s="15">
        <v>2738438</v>
      </c>
      <c r="F44" s="15">
        <v>28591</v>
      </c>
      <c r="G44" s="15" t="s">
        <v>3</v>
      </c>
      <c r="H44" s="15">
        <v>286</v>
      </c>
      <c r="I44" s="15" t="s">
        <v>3</v>
      </c>
      <c r="J44" s="15">
        <v>8</v>
      </c>
      <c r="K44" s="15" t="s">
        <v>3</v>
      </c>
      <c r="L44" s="15">
        <v>28885</v>
      </c>
      <c r="M44" s="15">
        <v>56362</v>
      </c>
      <c r="N44" s="15">
        <v>2767323</v>
      </c>
      <c r="O44" s="15">
        <v>2794800</v>
      </c>
      <c r="P44" s="15" t="s">
        <v>3</v>
      </c>
      <c r="Q44" s="15">
        <v>10.4</v>
      </c>
      <c r="R44" s="15">
        <v>1</v>
      </c>
    </row>
    <row r="45" spans="1:18" ht="15.75" customHeight="1" x14ac:dyDescent="0.25">
      <c r="A45" s="15" t="s">
        <v>18</v>
      </c>
      <c r="B45" s="15" t="s">
        <v>19</v>
      </c>
      <c r="C45" s="15">
        <v>1944</v>
      </c>
      <c r="D45" s="15">
        <v>1</v>
      </c>
      <c r="E45" s="15" t="s">
        <v>3</v>
      </c>
      <c r="F45" s="15">
        <v>29625</v>
      </c>
      <c r="G45" s="15" t="s">
        <v>3</v>
      </c>
      <c r="H45" s="15">
        <v>294</v>
      </c>
      <c r="I45" s="15" t="s">
        <v>3</v>
      </c>
      <c r="J45" s="15">
        <v>8</v>
      </c>
      <c r="K45" s="15" t="s">
        <v>3</v>
      </c>
      <c r="L45" s="15" t="s">
        <v>3</v>
      </c>
      <c r="M45" s="15" t="s">
        <v>3</v>
      </c>
      <c r="N45" s="15" t="s">
        <v>3</v>
      </c>
      <c r="O45" s="15">
        <f>2794800+75495</f>
        <v>2870295</v>
      </c>
      <c r="P45" s="15" t="s">
        <v>3</v>
      </c>
      <c r="Q45" s="15" t="s">
        <v>3</v>
      </c>
      <c r="R45" s="15" t="s">
        <v>58</v>
      </c>
    </row>
    <row r="46" spans="1:18" ht="15.75" customHeight="1" x14ac:dyDescent="0.25">
      <c r="A46" s="15" t="s">
        <v>18</v>
      </c>
      <c r="B46" s="15" t="s">
        <v>19</v>
      </c>
      <c r="C46" s="15">
        <v>1945</v>
      </c>
      <c r="D46" s="15">
        <v>2</v>
      </c>
      <c r="E46" s="15">
        <v>2678712</v>
      </c>
      <c r="F46" s="15">
        <v>28604</v>
      </c>
      <c r="G46" s="15" t="s">
        <v>3</v>
      </c>
      <c r="H46" s="15">
        <v>257</v>
      </c>
      <c r="I46" s="15" t="s">
        <v>3</v>
      </c>
      <c r="J46" s="15">
        <v>1</v>
      </c>
      <c r="K46" s="15">
        <v>5</v>
      </c>
      <c r="L46" s="15">
        <v>28862</v>
      </c>
      <c r="M46" s="15">
        <v>56744</v>
      </c>
      <c r="N46" s="15">
        <v>2707574</v>
      </c>
      <c r="O46" s="15">
        <v>2735456</v>
      </c>
      <c r="P46" s="15" t="s">
        <v>3</v>
      </c>
      <c r="Q46" s="15">
        <v>10.7</v>
      </c>
      <c r="R46" s="15">
        <v>1</v>
      </c>
    </row>
    <row r="47" spans="1:18" ht="15.75" customHeight="1" x14ac:dyDescent="0.25">
      <c r="A47" s="15" t="s">
        <v>18</v>
      </c>
      <c r="B47" s="15" t="s">
        <v>19</v>
      </c>
      <c r="C47" s="15">
        <v>1945</v>
      </c>
      <c r="D47" s="15">
        <v>1</v>
      </c>
      <c r="E47" s="15" t="s">
        <v>3</v>
      </c>
      <c r="F47" s="15">
        <v>29456</v>
      </c>
      <c r="G47" s="15" t="s">
        <v>3</v>
      </c>
      <c r="H47" s="15">
        <v>268</v>
      </c>
      <c r="I47" s="15" t="s">
        <v>3</v>
      </c>
      <c r="J47" s="15">
        <v>1</v>
      </c>
      <c r="K47" s="15">
        <v>5</v>
      </c>
      <c r="L47" s="15" t="s">
        <v>3</v>
      </c>
      <c r="M47" s="15" t="s">
        <v>3</v>
      </c>
      <c r="N47" s="15" t="s">
        <v>3</v>
      </c>
      <c r="O47" s="15">
        <f>2735456+65513</f>
        <v>2800969</v>
      </c>
      <c r="P47" s="15" t="s">
        <v>3</v>
      </c>
      <c r="Q47" s="15" t="s">
        <v>3</v>
      </c>
      <c r="R47" s="15" t="s">
        <v>58</v>
      </c>
    </row>
    <row r="48" spans="1:18" ht="15.75" customHeight="1" x14ac:dyDescent="0.25">
      <c r="A48" s="15" t="s">
        <v>18</v>
      </c>
      <c r="B48" s="15" t="s">
        <v>19</v>
      </c>
      <c r="C48" s="15">
        <v>1946</v>
      </c>
      <c r="D48" s="15">
        <v>2</v>
      </c>
      <c r="E48" s="15">
        <v>3216000</v>
      </c>
      <c r="F48" s="15">
        <v>36782</v>
      </c>
      <c r="G48" s="15" t="s">
        <v>3</v>
      </c>
      <c r="H48" s="15">
        <v>327</v>
      </c>
      <c r="I48" s="15" t="s">
        <v>3</v>
      </c>
      <c r="J48" s="15">
        <v>5</v>
      </c>
      <c r="K48" s="15" t="s">
        <v>3</v>
      </c>
      <c r="L48" s="15">
        <v>37114</v>
      </c>
      <c r="M48" s="15">
        <v>72672</v>
      </c>
      <c r="N48" s="15">
        <v>3253114</v>
      </c>
      <c r="O48" s="15">
        <v>3288672</v>
      </c>
      <c r="P48" s="15" t="s">
        <v>3</v>
      </c>
      <c r="Q48" s="15">
        <v>11.4</v>
      </c>
      <c r="R48" s="15">
        <v>1</v>
      </c>
    </row>
    <row r="49" spans="1:18" ht="15.75" customHeight="1" x14ac:dyDescent="0.25">
      <c r="A49" s="15" t="s">
        <v>18</v>
      </c>
      <c r="B49" s="15" t="s">
        <v>19</v>
      </c>
      <c r="C49" s="15">
        <v>1946</v>
      </c>
      <c r="D49" s="15">
        <v>1</v>
      </c>
      <c r="E49" s="15" t="s">
        <v>3</v>
      </c>
      <c r="F49" s="15">
        <v>37916</v>
      </c>
      <c r="G49" s="15" t="s">
        <v>3</v>
      </c>
      <c r="H49" s="15">
        <v>343</v>
      </c>
      <c r="I49" s="15" t="s">
        <v>3</v>
      </c>
      <c r="J49" s="15">
        <v>5</v>
      </c>
      <c r="K49" s="15" t="s">
        <v>3</v>
      </c>
      <c r="L49" s="15" t="s">
        <v>3</v>
      </c>
      <c r="M49" s="15" t="s">
        <v>3</v>
      </c>
      <c r="N49" s="15" t="s">
        <v>3</v>
      </c>
      <c r="O49" s="15">
        <f>3288672+74849</f>
        <v>3363521</v>
      </c>
      <c r="P49" s="15" t="s">
        <v>3</v>
      </c>
      <c r="Q49" s="15" t="s">
        <v>3</v>
      </c>
      <c r="R49" s="15" t="s">
        <v>58</v>
      </c>
    </row>
    <row r="50" spans="1:18" ht="15.75" customHeight="1" x14ac:dyDescent="0.25">
      <c r="A50" s="15" t="s">
        <v>18</v>
      </c>
      <c r="B50" s="15" t="s">
        <v>19</v>
      </c>
      <c r="C50" s="15">
        <v>1947</v>
      </c>
      <c r="D50" s="15">
        <v>2</v>
      </c>
      <c r="E50" s="15">
        <v>3624181</v>
      </c>
      <c r="F50" s="15">
        <v>38286</v>
      </c>
      <c r="G50" s="15" t="s">
        <v>3</v>
      </c>
      <c r="H50" s="15">
        <v>340</v>
      </c>
      <c r="I50" s="15" t="s">
        <v>3</v>
      </c>
      <c r="J50" s="15">
        <v>4</v>
      </c>
      <c r="K50" s="15" t="s">
        <v>3</v>
      </c>
      <c r="L50" s="15">
        <v>38630</v>
      </c>
      <c r="M50" s="15" t="s">
        <v>3</v>
      </c>
      <c r="N50" s="15">
        <v>3662811</v>
      </c>
      <c r="O50" s="15">
        <v>3699940</v>
      </c>
      <c r="P50" s="15" t="s">
        <v>3</v>
      </c>
      <c r="Q50" s="15">
        <v>10.5</v>
      </c>
      <c r="R50" s="15" t="s">
        <v>74</v>
      </c>
    </row>
    <row r="51" spans="1:18" ht="15.75" customHeight="1" x14ac:dyDescent="0.25">
      <c r="A51" s="15" t="s">
        <v>18</v>
      </c>
      <c r="B51" s="15" t="s">
        <v>19</v>
      </c>
      <c r="C51" s="15">
        <v>1947</v>
      </c>
      <c r="D51" s="15">
        <v>1</v>
      </c>
      <c r="E51" s="15" t="s">
        <v>3</v>
      </c>
      <c r="F51" s="15">
        <f>39304+31</f>
        <v>39335</v>
      </c>
      <c r="G51" s="15" t="s">
        <v>3</v>
      </c>
      <c r="H51" s="15">
        <v>354</v>
      </c>
      <c r="I51" s="15" t="s">
        <v>3</v>
      </c>
      <c r="J51" s="15">
        <v>4</v>
      </c>
      <c r="K51" s="15" t="s">
        <v>3</v>
      </c>
      <c r="L51" s="15" t="s">
        <v>3</v>
      </c>
      <c r="M51" s="15" t="s">
        <v>3</v>
      </c>
      <c r="N51" s="15" t="s">
        <v>3</v>
      </c>
      <c r="O51" s="15">
        <f>3699940+77917</f>
        <v>3777857</v>
      </c>
      <c r="P51" s="15" t="s">
        <v>3</v>
      </c>
      <c r="Q51" s="15" t="s">
        <v>3</v>
      </c>
      <c r="R51" s="15" t="s">
        <v>57</v>
      </c>
    </row>
    <row r="52" spans="1:18" ht="15.75" customHeight="1" x14ac:dyDescent="0.25">
      <c r="A52" s="15" t="s">
        <v>18</v>
      </c>
      <c r="B52" s="15" t="s">
        <v>19</v>
      </c>
      <c r="C52" s="15">
        <v>1948</v>
      </c>
      <c r="D52" s="15">
        <v>2</v>
      </c>
      <c r="E52" s="15">
        <v>3463320</v>
      </c>
      <c r="F52" s="15">
        <v>36246</v>
      </c>
      <c r="G52" s="15" t="s">
        <v>3</v>
      </c>
      <c r="H52" s="15">
        <v>336</v>
      </c>
      <c r="I52" s="15" t="s">
        <v>3</v>
      </c>
      <c r="J52" s="15">
        <v>4</v>
      </c>
      <c r="K52" s="15">
        <f>(4*3)+5</f>
        <v>17</v>
      </c>
      <c r="L52" s="15">
        <v>36586</v>
      </c>
      <c r="M52" s="15" t="s">
        <v>3</v>
      </c>
      <c r="N52" s="15">
        <v>3499906</v>
      </c>
      <c r="O52" s="15">
        <v>3535068</v>
      </c>
      <c r="P52" s="15" t="s">
        <v>3</v>
      </c>
      <c r="Q52" s="15">
        <v>10.5</v>
      </c>
      <c r="R52" s="15" t="s">
        <v>74</v>
      </c>
    </row>
    <row r="53" spans="1:18" ht="15.75" customHeight="1" x14ac:dyDescent="0.25">
      <c r="A53" s="15" t="s">
        <v>18</v>
      </c>
      <c r="B53" s="15" t="s">
        <v>19</v>
      </c>
      <c r="C53" s="15">
        <v>1948</v>
      </c>
      <c r="D53" s="15">
        <v>1</v>
      </c>
      <c r="E53" s="15" t="s">
        <v>3</v>
      </c>
      <c r="F53" s="15">
        <f>37271+113</f>
        <v>37384</v>
      </c>
      <c r="G53" s="15" t="s">
        <v>3</v>
      </c>
      <c r="H53" s="15">
        <v>354</v>
      </c>
      <c r="I53" s="15" t="s">
        <v>3</v>
      </c>
      <c r="J53" s="15">
        <v>4</v>
      </c>
      <c r="K53" s="15">
        <v>17</v>
      </c>
      <c r="L53" s="15" t="s">
        <v>3</v>
      </c>
      <c r="M53" s="15" t="s">
        <v>3</v>
      </c>
      <c r="N53" s="15" t="s">
        <v>3</v>
      </c>
      <c r="O53" s="15">
        <f>3535068+72838</f>
        <v>3607906</v>
      </c>
      <c r="P53" s="15" t="s">
        <v>3</v>
      </c>
      <c r="Q53" s="15" t="s">
        <v>3</v>
      </c>
      <c r="R53" s="15" t="s">
        <v>57</v>
      </c>
    </row>
    <row r="54" spans="1:18" ht="15.75" customHeight="1" x14ac:dyDescent="0.25">
      <c r="A54" s="15" t="s">
        <v>18</v>
      </c>
      <c r="B54" s="15" t="s">
        <v>19</v>
      </c>
      <c r="C54" s="15">
        <v>1949</v>
      </c>
      <c r="D54" s="15">
        <v>2</v>
      </c>
      <c r="E54" s="15">
        <v>3487548</v>
      </c>
      <c r="F54" s="15">
        <v>36479</v>
      </c>
      <c r="G54" s="15" t="s">
        <v>3</v>
      </c>
      <c r="H54" s="15">
        <v>337</v>
      </c>
      <c r="I54" s="15" t="s">
        <v>3</v>
      </c>
      <c r="J54" s="15">
        <v>3</v>
      </c>
      <c r="K54" s="15" t="s">
        <v>3</v>
      </c>
      <c r="L54" s="15">
        <v>36819</v>
      </c>
      <c r="M54" s="15" t="s">
        <v>3</v>
      </c>
      <c r="N54" s="15">
        <v>3524367</v>
      </c>
      <c r="O54" s="15">
        <v>3559529</v>
      </c>
      <c r="P54" s="15" t="s">
        <v>3</v>
      </c>
      <c r="Q54" s="15">
        <v>10.4</v>
      </c>
      <c r="R54" s="15" t="s">
        <v>74</v>
      </c>
    </row>
    <row r="55" spans="1:18" ht="15.75" customHeight="1" x14ac:dyDescent="0.25">
      <c r="A55" s="15" t="s">
        <v>18</v>
      </c>
      <c r="B55" s="15" t="s">
        <v>19</v>
      </c>
      <c r="C55" s="15">
        <v>1949</v>
      </c>
      <c r="D55" s="15">
        <v>1</v>
      </c>
      <c r="E55" s="15" t="s">
        <v>3</v>
      </c>
      <c r="F55" s="15">
        <v>37505</v>
      </c>
      <c r="G55" s="15" t="s">
        <v>3</v>
      </c>
      <c r="H55" s="15">
        <v>352</v>
      </c>
      <c r="I55" s="15" t="s">
        <v>3</v>
      </c>
      <c r="J55" s="15">
        <v>3</v>
      </c>
      <c r="K55" s="15" t="s">
        <v>3</v>
      </c>
      <c r="L55" s="15" t="s">
        <v>3</v>
      </c>
      <c r="M55" s="15" t="s">
        <v>3</v>
      </c>
      <c r="N55" s="15" t="s">
        <v>3</v>
      </c>
      <c r="O55" s="15">
        <f>3559529+70584</f>
        <v>3630113</v>
      </c>
      <c r="P55" s="15" t="s">
        <v>3</v>
      </c>
      <c r="Q55" s="15" t="s">
        <v>3</v>
      </c>
      <c r="R55" s="15" t="s">
        <v>57</v>
      </c>
    </row>
    <row r="56" spans="1:18" ht="15.75" customHeight="1" x14ac:dyDescent="0.25">
      <c r="A56" s="15" t="s">
        <v>18</v>
      </c>
      <c r="B56" s="15" t="s">
        <v>19</v>
      </c>
      <c r="C56" s="15">
        <v>1950</v>
      </c>
      <c r="D56" s="15">
        <v>2</v>
      </c>
      <c r="E56" s="15">
        <v>3479639</v>
      </c>
      <c r="F56" s="15">
        <v>37759</v>
      </c>
      <c r="G56" s="15" t="s">
        <v>3</v>
      </c>
      <c r="H56" s="15">
        <v>352</v>
      </c>
      <c r="I56" s="15" t="s">
        <v>3</v>
      </c>
      <c r="J56" s="15">
        <v>5</v>
      </c>
      <c r="K56" s="15" t="s">
        <v>3</v>
      </c>
      <c r="L56" s="15">
        <v>38116</v>
      </c>
      <c r="M56" s="15" t="s">
        <v>3</v>
      </c>
      <c r="N56" s="15">
        <v>3517755</v>
      </c>
      <c r="O56" s="15">
        <v>3554149</v>
      </c>
      <c r="P56" s="15" t="s">
        <v>3</v>
      </c>
      <c r="Q56" s="15">
        <v>10.8</v>
      </c>
      <c r="R56" s="15" t="s">
        <v>74</v>
      </c>
    </row>
    <row r="57" spans="1:18" ht="15.75" customHeight="1" x14ac:dyDescent="0.25">
      <c r="A57" s="15" t="s">
        <v>18</v>
      </c>
      <c r="B57" s="15" t="s">
        <v>19</v>
      </c>
      <c r="C57" s="15">
        <v>1950</v>
      </c>
      <c r="D57" s="15">
        <v>1</v>
      </c>
      <c r="E57" s="15" t="s">
        <v>3</v>
      </c>
      <c r="F57" s="15">
        <v>38748</v>
      </c>
      <c r="G57" s="15" t="s">
        <v>3</v>
      </c>
      <c r="H57" s="15">
        <v>363</v>
      </c>
      <c r="I57" s="15" t="s">
        <v>3</v>
      </c>
      <c r="J57" s="15">
        <v>5</v>
      </c>
      <c r="K57" s="15" t="s">
        <v>3</v>
      </c>
      <c r="L57" s="15" t="s">
        <v>3</v>
      </c>
      <c r="M57" s="15" t="s">
        <v>3</v>
      </c>
      <c r="N57" s="15" t="s">
        <v>3</v>
      </c>
      <c r="O57" s="15">
        <f>3554149+68262</f>
        <v>3622411</v>
      </c>
      <c r="P57" s="15" t="s">
        <v>3</v>
      </c>
      <c r="Q57" s="15" t="s">
        <v>3</v>
      </c>
      <c r="R57" s="15" t="s">
        <v>57</v>
      </c>
    </row>
    <row r="58" spans="1:18" ht="15.75" customHeight="1" x14ac:dyDescent="0.25">
      <c r="A58" s="15" t="s">
        <v>18</v>
      </c>
      <c r="B58" s="15" t="s">
        <v>19</v>
      </c>
      <c r="C58" s="15">
        <v>1951</v>
      </c>
      <c r="D58" s="15">
        <v>2</v>
      </c>
      <c r="E58" s="15">
        <v>3673160</v>
      </c>
      <c r="F58" s="15">
        <v>38256</v>
      </c>
      <c r="G58" s="15" t="s">
        <v>3</v>
      </c>
      <c r="H58" s="15">
        <v>313</v>
      </c>
      <c r="I58" s="15" t="s">
        <v>3</v>
      </c>
      <c r="J58" s="15">
        <v>7</v>
      </c>
      <c r="K58" s="15" t="s">
        <v>3</v>
      </c>
      <c r="L58" s="15">
        <v>38576</v>
      </c>
      <c r="M58" s="15">
        <v>77690</v>
      </c>
      <c r="N58" s="15">
        <v>3713180</v>
      </c>
      <c r="O58" s="15">
        <v>3750850</v>
      </c>
      <c r="P58" s="15" t="s">
        <v>3</v>
      </c>
      <c r="Q58" s="15">
        <v>10.4</v>
      </c>
      <c r="R58" s="15" t="s">
        <v>78</v>
      </c>
    </row>
    <row r="59" spans="1:18" ht="15.75" customHeight="1" x14ac:dyDescent="0.25">
      <c r="A59" s="15" t="s">
        <v>18</v>
      </c>
      <c r="B59" s="15" t="s">
        <v>19</v>
      </c>
      <c r="C59" s="15">
        <v>1951</v>
      </c>
      <c r="D59" s="15">
        <v>1</v>
      </c>
      <c r="E59" s="15" t="s">
        <v>3</v>
      </c>
      <c r="F59" s="15">
        <v>39213</v>
      </c>
      <c r="G59" s="15" t="s">
        <v>3</v>
      </c>
      <c r="H59" s="15">
        <v>324</v>
      </c>
      <c r="I59" s="15" t="s">
        <v>3</v>
      </c>
      <c r="J59" s="15">
        <v>7</v>
      </c>
      <c r="K59" s="15" t="s">
        <v>3</v>
      </c>
      <c r="L59" s="15" t="s">
        <v>3</v>
      </c>
      <c r="M59" s="15" t="s">
        <v>3</v>
      </c>
      <c r="N59" s="15" t="s">
        <v>3</v>
      </c>
      <c r="O59" s="15">
        <f>3750850+70569</f>
        <v>3821419</v>
      </c>
      <c r="P59" s="15" t="s">
        <v>3</v>
      </c>
      <c r="Q59" s="15" t="s">
        <v>3</v>
      </c>
      <c r="R59" s="15" t="s">
        <v>76</v>
      </c>
    </row>
    <row r="60" spans="1:18" ht="15.75" customHeight="1" x14ac:dyDescent="0.25">
      <c r="A60" s="15" t="s">
        <v>18</v>
      </c>
      <c r="B60" s="15" t="s">
        <v>19</v>
      </c>
      <c r="C60" s="15">
        <v>1952</v>
      </c>
      <c r="D60" s="15">
        <v>2</v>
      </c>
      <c r="E60" s="15">
        <f>3846986-79536</f>
        <v>3767450</v>
      </c>
      <c r="F60" s="15">
        <v>40154</v>
      </c>
      <c r="G60" s="15" t="s">
        <v>3</v>
      </c>
      <c r="H60" s="15">
        <v>371</v>
      </c>
      <c r="I60" s="15" t="s">
        <v>3</v>
      </c>
      <c r="J60" s="15">
        <v>4</v>
      </c>
      <c r="K60" s="15" t="s">
        <v>3</v>
      </c>
      <c r="L60" s="15">
        <v>40529</v>
      </c>
      <c r="M60" s="15" t="s">
        <v>3</v>
      </c>
      <c r="N60" s="15">
        <v>3807979</v>
      </c>
      <c r="O60" s="15">
        <v>3846986</v>
      </c>
      <c r="P60" s="15" t="s">
        <v>3</v>
      </c>
      <c r="Q60" s="15">
        <v>10.6</v>
      </c>
      <c r="R60" s="15" t="s">
        <v>73</v>
      </c>
    </row>
    <row r="61" spans="1:18" ht="15.75" customHeight="1" x14ac:dyDescent="0.25">
      <c r="A61" s="15" t="s">
        <v>18</v>
      </c>
      <c r="B61" s="15" t="s">
        <v>19</v>
      </c>
      <c r="C61" s="15">
        <v>1952</v>
      </c>
      <c r="D61" s="15">
        <v>1</v>
      </c>
      <c r="E61" s="15" t="s">
        <v>3</v>
      </c>
      <c r="F61" s="15">
        <v>41128</v>
      </c>
      <c r="G61" s="15" t="s">
        <v>3</v>
      </c>
      <c r="H61" s="15">
        <v>382</v>
      </c>
      <c r="I61" s="15" t="s">
        <v>3</v>
      </c>
      <c r="J61" s="15">
        <v>4</v>
      </c>
      <c r="K61" s="15" t="s">
        <v>3</v>
      </c>
      <c r="L61" s="15" t="s">
        <v>3</v>
      </c>
      <c r="M61" s="15" t="s">
        <v>3</v>
      </c>
      <c r="N61" s="15" t="s">
        <v>3</v>
      </c>
      <c r="O61" s="15">
        <f>3846986+70447</f>
        <v>3917433</v>
      </c>
      <c r="P61" s="15" t="s">
        <v>3</v>
      </c>
      <c r="Q61" s="15" t="s">
        <v>3</v>
      </c>
      <c r="R61" s="15" t="s">
        <v>76</v>
      </c>
    </row>
    <row r="62" spans="1:18" ht="15.75" customHeight="1" x14ac:dyDescent="0.25">
      <c r="A62" s="15" t="s">
        <v>18</v>
      </c>
      <c r="B62" s="15" t="s">
        <v>19</v>
      </c>
      <c r="C62" s="15">
        <v>1953</v>
      </c>
      <c r="D62" s="15">
        <v>2</v>
      </c>
      <c r="E62" s="15">
        <f>3902120-82057</f>
        <v>3820063</v>
      </c>
      <c r="F62" s="15">
        <v>41520</v>
      </c>
      <c r="G62" s="15" t="s">
        <v>3</v>
      </c>
      <c r="H62" s="15">
        <v>359</v>
      </c>
      <c r="I62" s="15" t="s">
        <v>3</v>
      </c>
      <c r="J62" s="15">
        <v>4</v>
      </c>
      <c r="K62" s="15" t="s">
        <v>3</v>
      </c>
      <c r="L62" s="15">
        <v>41883</v>
      </c>
      <c r="M62" s="15" t="s">
        <v>3</v>
      </c>
      <c r="N62" s="15">
        <v>3861946</v>
      </c>
      <c r="O62" s="15">
        <v>3902120</v>
      </c>
      <c r="P62" s="15" t="s">
        <v>3</v>
      </c>
      <c r="Q62" s="15">
        <v>10.8</v>
      </c>
      <c r="R62" s="15" t="s">
        <v>73</v>
      </c>
    </row>
    <row r="63" spans="1:18" ht="15.75" customHeight="1" x14ac:dyDescent="0.25">
      <c r="A63" s="15" t="s">
        <v>18</v>
      </c>
      <c r="B63" s="15" t="s">
        <v>19</v>
      </c>
      <c r="C63" s="15">
        <v>1953</v>
      </c>
      <c r="D63" s="15">
        <v>1</v>
      </c>
      <c r="E63" s="15" t="s">
        <v>3</v>
      </c>
      <c r="F63" s="15">
        <v>42573</v>
      </c>
      <c r="G63" s="15" t="s">
        <v>3</v>
      </c>
      <c r="H63" s="15">
        <v>373</v>
      </c>
      <c r="I63" s="15" t="s">
        <v>3</v>
      </c>
      <c r="J63" s="15">
        <v>4</v>
      </c>
      <c r="K63" s="15" t="s">
        <v>3</v>
      </c>
      <c r="L63" s="15" t="s">
        <v>3</v>
      </c>
      <c r="M63" s="15" t="s">
        <v>3</v>
      </c>
      <c r="N63" s="15" t="s">
        <v>3</v>
      </c>
      <c r="O63" s="15">
        <f>3902120+69393</f>
        <v>3971513</v>
      </c>
      <c r="P63" s="15" t="s">
        <v>3</v>
      </c>
      <c r="Q63" s="15" t="s">
        <v>3</v>
      </c>
      <c r="R63" s="15" t="s">
        <v>76</v>
      </c>
    </row>
    <row r="64" spans="1:18" ht="15.75" customHeight="1" x14ac:dyDescent="0.25">
      <c r="A64" s="15" t="s">
        <v>18</v>
      </c>
      <c r="B64" s="15" t="s">
        <v>19</v>
      </c>
      <c r="C64" s="15">
        <v>1954</v>
      </c>
      <c r="D64" s="15">
        <v>2</v>
      </c>
      <c r="E64" s="15">
        <f>4017362-83878</f>
        <v>3933484</v>
      </c>
      <c r="F64" s="15">
        <v>42240</v>
      </c>
      <c r="G64" s="15" t="s">
        <v>3</v>
      </c>
      <c r="H64" s="15">
        <v>398</v>
      </c>
      <c r="I64" s="15" t="s">
        <v>3</v>
      </c>
      <c r="J64" s="15">
        <v>3</v>
      </c>
      <c r="K64" s="15" t="s">
        <v>3</v>
      </c>
      <c r="L64" s="15">
        <v>42641</v>
      </c>
      <c r="M64" s="15" t="s">
        <v>3</v>
      </c>
      <c r="N64" s="15">
        <v>3976225</v>
      </c>
      <c r="O64" s="15">
        <v>4017362</v>
      </c>
      <c r="P64" s="15" t="s">
        <v>3</v>
      </c>
      <c r="Q64" s="15">
        <v>10.7</v>
      </c>
      <c r="R64" s="15" t="s">
        <v>78</v>
      </c>
    </row>
    <row r="65" spans="1:18" ht="15.75" customHeight="1" x14ac:dyDescent="0.25">
      <c r="A65" s="15" t="s">
        <v>18</v>
      </c>
      <c r="B65" s="15" t="s">
        <v>19</v>
      </c>
      <c r="C65" s="15">
        <v>1954</v>
      </c>
      <c r="D65" s="15">
        <v>1</v>
      </c>
      <c r="E65" s="15" t="s">
        <v>3</v>
      </c>
      <c r="F65" s="15">
        <v>43220</v>
      </c>
      <c r="G65" s="15" t="s">
        <v>3</v>
      </c>
      <c r="H65" s="15">
        <v>414</v>
      </c>
      <c r="I65" s="15" t="s">
        <v>3</v>
      </c>
      <c r="J65" s="15">
        <v>3</v>
      </c>
      <c r="K65" s="15" t="s">
        <v>3</v>
      </c>
      <c r="L65" s="15" t="s">
        <v>3</v>
      </c>
      <c r="M65" s="15" t="s">
        <v>3</v>
      </c>
      <c r="N65" s="15" t="s">
        <v>3</v>
      </c>
      <c r="O65" s="15">
        <f>4017362+70109</f>
        <v>4087471</v>
      </c>
      <c r="P65" s="15" t="s">
        <v>3</v>
      </c>
      <c r="Q65" s="15" t="s">
        <v>3</v>
      </c>
      <c r="R65" s="15" t="s">
        <v>76</v>
      </c>
    </row>
    <row r="66" spans="1:18" ht="15.75" customHeight="1" x14ac:dyDescent="0.25">
      <c r="A66" s="15" t="s">
        <v>18</v>
      </c>
      <c r="B66" s="15" t="s">
        <v>19</v>
      </c>
      <c r="C66" s="15">
        <v>1955</v>
      </c>
      <c r="D66" s="15">
        <v>2</v>
      </c>
      <c r="E66" s="15">
        <v>3961776</v>
      </c>
      <c r="F66" s="15">
        <v>43082</v>
      </c>
      <c r="G66" s="15" t="s">
        <v>3</v>
      </c>
      <c r="H66" s="15">
        <v>392</v>
      </c>
      <c r="I66" s="15" t="s">
        <v>3</v>
      </c>
      <c r="J66" s="15">
        <v>7</v>
      </c>
      <c r="K66" s="15" t="s">
        <v>3</v>
      </c>
      <c r="L66" s="15">
        <v>43481</v>
      </c>
      <c r="M66" s="15" t="s">
        <v>3</v>
      </c>
      <c r="N66" s="15">
        <v>4005257</v>
      </c>
      <c r="O66" s="15">
        <v>4047295</v>
      </c>
      <c r="P66" s="15" t="s">
        <v>3</v>
      </c>
      <c r="Q66" s="15">
        <v>10.9</v>
      </c>
      <c r="R66" s="15" t="s">
        <v>73</v>
      </c>
    </row>
    <row r="67" spans="1:18" ht="15.75" customHeight="1" x14ac:dyDescent="0.25">
      <c r="A67" s="15" t="s">
        <v>18</v>
      </c>
      <c r="B67" s="15" t="s">
        <v>19</v>
      </c>
      <c r="C67" s="15">
        <v>1955</v>
      </c>
      <c r="D67" s="15">
        <v>1</v>
      </c>
      <c r="E67" s="15" t="s">
        <v>3</v>
      </c>
      <c r="F67" s="15">
        <v>44046</v>
      </c>
      <c r="G67" s="15" t="s">
        <v>3</v>
      </c>
      <c r="H67" s="15">
        <v>408</v>
      </c>
      <c r="I67" s="15" t="s">
        <v>3</v>
      </c>
      <c r="J67" s="15">
        <v>7</v>
      </c>
      <c r="K67" s="15" t="s">
        <v>3</v>
      </c>
      <c r="L67" s="15" t="s">
        <v>3</v>
      </c>
      <c r="M67" s="15" t="s">
        <v>3</v>
      </c>
      <c r="N67" s="15" t="s">
        <v>3</v>
      </c>
      <c r="O67" s="15">
        <f>4047295+69153</f>
        <v>4116448</v>
      </c>
      <c r="P67" s="15" t="s">
        <v>3</v>
      </c>
      <c r="Q67" s="15" t="s">
        <v>3</v>
      </c>
      <c r="R67" s="15" t="s">
        <v>76</v>
      </c>
    </row>
    <row r="68" spans="1:18" ht="15.75" customHeight="1" x14ac:dyDescent="0.25">
      <c r="A68" s="15" t="s">
        <v>18</v>
      </c>
      <c r="B68" s="15" t="s">
        <v>19</v>
      </c>
      <c r="C68" s="15">
        <v>1956</v>
      </c>
      <c r="D68" s="15">
        <v>2</v>
      </c>
      <c r="E68" s="15">
        <v>4077170</v>
      </c>
      <c r="F68" s="15">
        <v>43228</v>
      </c>
      <c r="G68" s="15" t="s">
        <v>3</v>
      </c>
      <c r="H68" s="15">
        <v>399</v>
      </c>
      <c r="I68" s="15" t="s">
        <v>3</v>
      </c>
      <c r="J68" s="15">
        <v>5</v>
      </c>
      <c r="K68" s="15" t="s">
        <v>3</v>
      </c>
      <c r="L68" s="15">
        <v>43632</v>
      </c>
      <c r="M68" s="15" t="s">
        <v>3</v>
      </c>
      <c r="N68" s="15">
        <v>4120802</v>
      </c>
      <c r="O68" s="15">
        <v>4163090</v>
      </c>
      <c r="P68" s="15" t="s">
        <v>3</v>
      </c>
      <c r="Q68" s="15">
        <v>10.6</v>
      </c>
      <c r="R68" s="15" t="s">
        <v>73</v>
      </c>
    </row>
    <row r="69" spans="1:18" ht="15.75" customHeight="1" x14ac:dyDescent="0.25">
      <c r="A69" s="15" t="s">
        <v>18</v>
      </c>
      <c r="B69" s="15" t="s">
        <v>19</v>
      </c>
      <c r="C69" s="15">
        <v>1956</v>
      </c>
      <c r="D69" s="15">
        <v>1</v>
      </c>
      <c r="E69" s="15" t="s">
        <v>3</v>
      </c>
      <c r="F69" s="15">
        <v>44203</v>
      </c>
      <c r="G69" s="15" t="s">
        <v>3</v>
      </c>
      <c r="H69" s="15">
        <v>410</v>
      </c>
      <c r="I69" s="15" t="s">
        <v>3</v>
      </c>
      <c r="J69" s="15">
        <v>5</v>
      </c>
      <c r="K69" s="15" t="s">
        <v>3</v>
      </c>
      <c r="L69" s="15" t="s">
        <v>3</v>
      </c>
      <c r="M69" s="15" t="s">
        <v>3</v>
      </c>
      <c r="N69" s="15" t="s">
        <v>3</v>
      </c>
      <c r="O69" s="15">
        <f>4163090+68659</f>
        <v>4231749</v>
      </c>
      <c r="P69" s="15" t="s">
        <v>3</v>
      </c>
      <c r="Q69" s="15" t="s">
        <v>3</v>
      </c>
      <c r="R69" s="15" t="s">
        <v>76</v>
      </c>
    </row>
    <row r="70" spans="1:18" ht="15.75" customHeight="1" x14ac:dyDescent="0.25">
      <c r="A70" s="15" t="s">
        <v>18</v>
      </c>
      <c r="B70" s="15" t="s">
        <v>19</v>
      </c>
      <c r="C70" s="15">
        <v>1957</v>
      </c>
      <c r="D70" s="15">
        <v>2</v>
      </c>
      <c r="E70" s="15">
        <v>4167626</v>
      </c>
      <c r="F70" s="15">
        <v>43439</v>
      </c>
      <c r="G70" s="15" t="s">
        <v>3</v>
      </c>
      <c r="H70" s="15">
        <v>353</v>
      </c>
      <c r="I70" s="15" t="s">
        <v>3</v>
      </c>
      <c r="J70" s="15">
        <v>1</v>
      </c>
      <c r="K70" s="15" t="s">
        <v>3</v>
      </c>
      <c r="L70" s="15">
        <v>43793</v>
      </c>
      <c r="M70" s="15" t="s">
        <v>3</v>
      </c>
      <c r="N70" s="15">
        <v>4212368</v>
      </c>
      <c r="O70" s="15">
        <v>4254784</v>
      </c>
      <c r="P70" s="15" t="s">
        <v>3</v>
      </c>
      <c r="Q70" s="15">
        <v>10.4</v>
      </c>
      <c r="R70" s="15" t="s">
        <v>78</v>
      </c>
    </row>
    <row r="71" spans="1:18" ht="15.75" customHeight="1" x14ac:dyDescent="0.25">
      <c r="A71" s="15" t="s">
        <v>18</v>
      </c>
      <c r="B71" s="15" t="s">
        <v>19</v>
      </c>
      <c r="C71" s="15">
        <v>1957</v>
      </c>
      <c r="D71" s="15">
        <v>1</v>
      </c>
      <c r="E71" s="15" t="s">
        <v>3</v>
      </c>
      <c r="F71" s="15">
        <v>44401</v>
      </c>
      <c r="G71" s="15" t="s">
        <v>3</v>
      </c>
      <c r="H71" s="15">
        <v>364</v>
      </c>
      <c r="I71" s="15" t="s">
        <v>3</v>
      </c>
      <c r="J71" s="15">
        <v>2</v>
      </c>
      <c r="K71" s="15" t="s">
        <v>3</v>
      </c>
      <c r="L71" s="15" t="s">
        <v>3</v>
      </c>
      <c r="M71" s="15" t="s">
        <v>3</v>
      </c>
      <c r="N71" s="15" t="s">
        <v>3</v>
      </c>
      <c r="O71" s="15">
        <f>4254784+69561</f>
        <v>4324345</v>
      </c>
      <c r="P71" s="15" t="s">
        <v>3</v>
      </c>
      <c r="Q71" s="15" t="s">
        <v>3</v>
      </c>
      <c r="R71" s="15" t="s">
        <v>76</v>
      </c>
    </row>
    <row r="72" spans="1:18" ht="15.75" customHeight="1" x14ac:dyDescent="0.25">
      <c r="A72" s="15" t="s">
        <v>18</v>
      </c>
      <c r="B72" s="15" t="s">
        <v>19</v>
      </c>
      <c r="C72" s="15">
        <v>1958</v>
      </c>
      <c r="D72" s="15">
        <v>2</v>
      </c>
      <c r="E72" s="15">
        <v>4117202</v>
      </c>
      <c r="F72" s="15">
        <v>43360</v>
      </c>
      <c r="G72" s="15" t="s">
        <v>3</v>
      </c>
      <c r="H72" s="15">
        <v>375</v>
      </c>
      <c r="I72" s="15" t="s">
        <v>3</v>
      </c>
      <c r="J72" s="15">
        <v>6</v>
      </c>
      <c r="K72" s="15" t="s">
        <v>3</v>
      </c>
      <c r="L72" s="15">
        <v>43741</v>
      </c>
      <c r="M72" s="15" t="s">
        <v>3</v>
      </c>
      <c r="N72" s="15">
        <v>4161513</v>
      </c>
      <c r="O72" s="15">
        <v>4203812</v>
      </c>
      <c r="P72" s="15" t="s">
        <v>3</v>
      </c>
      <c r="Q72" s="15">
        <v>10.5</v>
      </c>
      <c r="R72" s="15" t="s">
        <v>78</v>
      </c>
    </row>
    <row r="73" spans="1:18" ht="15.75" customHeight="1" x14ac:dyDescent="0.25">
      <c r="A73" s="15" t="s">
        <v>18</v>
      </c>
      <c r="B73" s="15" t="s">
        <v>19</v>
      </c>
      <c r="C73" s="15">
        <v>1958</v>
      </c>
      <c r="D73" s="15">
        <v>1</v>
      </c>
      <c r="E73" s="15" t="s">
        <v>3</v>
      </c>
      <c r="F73" s="15">
        <v>44336</v>
      </c>
      <c r="G73" s="15" t="s">
        <v>3</v>
      </c>
      <c r="H73" s="15">
        <v>386</v>
      </c>
      <c r="I73" s="15" t="s">
        <v>3</v>
      </c>
      <c r="J73" s="15">
        <v>6</v>
      </c>
      <c r="K73" s="15" t="s">
        <v>3</v>
      </c>
      <c r="L73" s="15" t="s">
        <v>3</v>
      </c>
      <c r="M73" s="15" t="s">
        <v>3</v>
      </c>
      <c r="N73" s="15" t="s">
        <v>3</v>
      </c>
      <c r="O73" s="15">
        <f>4203812+69355</f>
        <v>4273167</v>
      </c>
      <c r="P73" s="15" t="s">
        <v>3</v>
      </c>
      <c r="Q73" s="15" t="s">
        <v>3</v>
      </c>
      <c r="R73" s="15" t="s">
        <v>76</v>
      </c>
    </row>
    <row r="74" spans="1:18" ht="15.75" customHeight="1" x14ac:dyDescent="0.25">
      <c r="A74" s="15" t="s">
        <v>18</v>
      </c>
      <c r="B74" s="15" t="s">
        <v>19</v>
      </c>
      <c r="C74" s="15">
        <v>1959</v>
      </c>
      <c r="D74" s="15">
        <v>0</v>
      </c>
      <c r="E74" s="15">
        <v>4157142</v>
      </c>
      <c r="F74" s="15" t="s">
        <v>3</v>
      </c>
      <c r="G74" s="15">
        <v>86426</v>
      </c>
      <c r="H74" s="15" t="s">
        <v>3</v>
      </c>
      <c r="I74" s="15">
        <f>1228-36</f>
        <v>1192</v>
      </c>
      <c r="J74" s="15" t="s">
        <v>3</v>
      </c>
      <c r="K74" s="15">
        <v>36</v>
      </c>
      <c r="L74" s="15" t="s">
        <v>3</v>
      </c>
      <c r="M74" s="15" t="s">
        <v>3</v>
      </c>
      <c r="N74" s="15" t="s">
        <v>3</v>
      </c>
      <c r="O74" s="15">
        <v>4244796</v>
      </c>
      <c r="P74" s="15" t="s">
        <v>3</v>
      </c>
      <c r="Q74" s="15" t="s">
        <v>3</v>
      </c>
      <c r="R74" s="15" t="s">
        <v>77</v>
      </c>
    </row>
    <row r="75" spans="1:18" ht="15.75" customHeight="1" x14ac:dyDescent="0.25">
      <c r="A75" s="15" t="s">
        <v>18</v>
      </c>
      <c r="B75" s="15" t="s">
        <v>19</v>
      </c>
      <c r="C75" s="15">
        <v>1959</v>
      </c>
      <c r="D75" s="15">
        <v>1</v>
      </c>
      <c r="E75" s="15">
        <f>4157142+64649</f>
        <v>4221791</v>
      </c>
      <c r="F75" s="15" t="s">
        <v>3</v>
      </c>
      <c r="G75" s="15">
        <f>86426+3843</f>
        <v>90269</v>
      </c>
      <c r="H75" s="15" t="s">
        <v>3</v>
      </c>
      <c r="I75" s="15">
        <f>1192+36+121</f>
        <v>1349</v>
      </c>
      <c r="J75" s="15" t="s">
        <v>3</v>
      </c>
      <c r="K75" s="15" t="s">
        <v>3</v>
      </c>
      <c r="L75" s="15" t="s">
        <v>3</v>
      </c>
      <c r="M75" s="15" t="s">
        <v>3</v>
      </c>
      <c r="N75" s="15" t="s">
        <v>3</v>
      </c>
      <c r="O75" s="15">
        <f>4244796+68613</f>
        <v>4313409</v>
      </c>
      <c r="P75" s="15" t="s">
        <v>3</v>
      </c>
      <c r="Q75" s="15" t="s">
        <v>3</v>
      </c>
      <c r="R75" s="15" t="s">
        <v>79</v>
      </c>
    </row>
    <row r="76" spans="1:18" ht="15.75" customHeight="1" x14ac:dyDescent="0.25">
      <c r="A76" s="15" t="s">
        <v>18</v>
      </c>
      <c r="B76" s="15" t="s">
        <v>19</v>
      </c>
      <c r="C76" s="15">
        <v>1960</v>
      </c>
      <c r="D76" s="15">
        <v>0</v>
      </c>
      <c r="E76" s="15">
        <v>4171166</v>
      </c>
      <c r="F76" s="15" t="s">
        <v>3</v>
      </c>
      <c r="G76" s="15">
        <v>85440</v>
      </c>
      <c r="H76" s="15" t="s">
        <v>3</v>
      </c>
      <c r="I76" s="15">
        <f>1244-46</f>
        <v>1198</v>
      </c>
      <c r="J76" s="15" t="s">
        <v>3</v>
      </c>
      <c r="K76" s="15">
        <v>46</v>
      </c>
      <c r="L76" s="15" t="s">
        <v>3</v>
      </c>
      <c r="M76" s="15" t="s">
        <v>3</v>
      </c>
      <c r="N76" s="15" t="s">
        <v>3</v>
      </c>
      <c r="O76" s="15">
        <v>4257850</v>
      </c>
      <c r="P76" s="15" t="s">
        <v>3</v>
      </c>
      <c r="Q76" s="15" t="s">
        <v>3</v>
      </c>
      <c r="R76" s="15">
        <v>4</v>
      </c>
    </row>
    <row r="77" spans="1:18" ht="15.75" customHeight="1" x14ac:dyDescent="0.25">
      <c r="A77" s="15" t="s">
        <v>18</v>
      </c>
      <c r="B77" s="15" t="s">
        <v>19</v>
      </c>
      <c r="C77" s="15">
        <v>1960</v>
      </c>
      <c r="D77" s="15">
        <v>1</v>
      </c>
      <c r="E77" s="15">
        <f>4171166+64467</f>
        <v>4235633</v>
      </c>
      <c r="F77" s="15" t="s">
        <v>3</v>
      </c>
      <c r="G77" s="15">
        <f>85440+3893</f>
        <v>89333</v>
      </c>
      <c r="H77" s="15" t="s">
        <v>3</v>
      </c>
      <c r="I77" s="15">
        <f>1244+120</f>
        <v>1364</v>
      </c>
      <c r="J77" s="15" t="s">
        <v>3</v>
      </c>
      <c r="K77" s="15" t="s">
        <v>3</v>
      </c>
      <c r="L77" s="15" t="s">
        <v>3</v>
      </c>
      <c r="M77" s="15" t="s">
        <v>3</v>
      </c>
      <c r="N77" s="15" t="s">
        <v>3</v>
      </c>
      <c r="O77" s="15">
        <f>4257850+68480</f>
        <v>4326330</v>
      </c>
      <c r="P77" s="15" t="s">
        <v>3</v>
      </c>
      <c r="Q77" s="15" t="s">
        <v>3</v>
      </c>
      <c r="R77" s="15" t="s">
        <v>80</v>
      </c>
    </row>
    <row r="78" spans="1:18" ht="15.75" customHeight="1" x14ac:dyDescent="0.25">
      <c r="A78" s="15" t="s">
        <v>18</v>
      </c>
      <c r="B78" s="15" t="s">
        <v>19</v>
      </c>
      <c r="C78" s="15">
        <v>1961</v>
      </c>
      <c r="D78" s="15">
        <v>0</v>
      </c>
      <c r="E78" s="15">
        <v>4182226</v>
      </c>
      <c r="F78" s="15" t="s">
        <v>3</v>
      </c>
      <c r="G78" s="15">
        <v>84926</v>
      </c>
      <c r="H78" s="15" t="s">
        <v>3</v>
      </c>
      <c r="I78" s="15">
        <v>1174</v>
      </c>
      <c r="J78" s="15" t="s">
        <v>3</v>
      </c>
      <c r="K78" s="15" t="s">
        <v>3</v>
      </c>
      <c r="L78" s="15" t="s">
        <v>3</v>
      </c>
      <c r="M78" s="15" t="s">
        <v>3</v>
      </c>
      <c r="N78" s="15" t="s">
        <v>3</v>
      </c>
      <c r="O78" s="15">
        <v>4268326</v>
      </c>
      <c r="P78" s="15" t="s">
        <v>3</v>
      </c>
      <c r="Q78" s="15" t="s">
        <v>3</v>
      </c>
      <c r="R78" s="15" t="s">
        <v>81</v>
      </c>
    </row>
    <row r="79" spans="1:18" ht="15.75" customHeight="1" x14ac:dyDescent="0.25">
      <c r="A79" s="15" t="s">
        <v>18</v>
      </c>
      <c r="B79" s="15" t="s">
        <v>19</v>
      </c>
      <c r="C79" s="15">
        <v>1961</v>
      </c>
      <c r="D79" s="15">
        <v>1</v>
      </c>
      <c r="E79" s="15">
        <f>4182226+64786</f>
        <v>4247012</v>
      </c>
      <c r="F79" s="15" t="s">
        <v>3</v>
      </c>
      <c r="G79" s="15">
        <f>84926+3871</f>
        <v>88797</v>
      </c>
      <c r="H79" s="15" t="s">
        <v>3</v>
      </c>
      <c r="I79" s="15">
        <f>1174+110</f>
        <v>1284</v>
      </c>
      <c r="J79" s="15" t="s">
        <v>3</v>
      </c>
      <c r="K79" s="15" t="s">
        <v>3</v>
      </c>
      <c r="L79" s="15" t="s">
        <v>3</v>
      </c>
      <c r="M79" s="15" t="s">
        <v>3</v>
      </c>
      <c r="N79" s="15" t="s">
        <v>3</v>
      </c>
      <c r="O79" s="15">
        <f>4268326+68767</f>
        <v>4337093</v>
      </c>
      <c r="P79" s="15" t="s">
        <v>3</v>
      </c>
      <c r="Q79" s="15" t="s">
        <v>3</v>
      </c>
      <c r="R79" s="15" t="s">
        <v>80</v>
      </c>
    </row>
    <row r="80" spans="1:18" ht="15.75" customHeight="1" x14ac:dyDescent="0.25">
      <c r="A80" s="15" t="s">
        <v>18</v>
      </c>
      <c r="B80" s="15" t="s">
        <v>19</v>
      </c>
      <c r="C80" s="15">
        <v>1962</v>
      </c>
      <c r="D80" s="15">
        <v>0</v>
      </c>
      <c r="E80" s="15">
        <v>4086056</v>
      </c>
      <c r="F80" s="15" t="s">
        <v>3</v>
      </c>
      <c r="G80" s="15">
        <v>80180</v>
      </c>
      <c r="H80" s="15" t="s">
        <v>3</v>
      </c>
      <c r="I80" s="15">
        <v>1126</v>
      </c>
      <c r="J80" s="15" t="s">
        <v>3</v>
      </c>
      <c r="K80" s="15" t="s">
        <v>3</v>
      </c>
      <c r="L80" s="15" t="s">
        <v>3</v>
      </c>
      <c r="M80" s="15" t="s">
        <v>3</v>
      </c>
      <c r="N80" s="15" t="s">
        <v>3</v>
      </c>
      <c r="O80" s="15">
        <v>4167362</v>
      </c>
      <c r="P80" s="15" t="s">
        <v>3</v>
      </c>
      <c r="Q80" s="15" t="s">
        <v>3</v>
      </c>
      <c r="R80" s="15" t="s">
        <v>81</v>
      </c>
    </row>
    <row r="81" spans="1:18" ht="15.75" customHeight="1" x14ac:dyDescent="0.25">
      <c r="A81" s="15" t="s">
        <v>18</v>
      </c>
      <c r="B81" s="15" t="s">
        <v>19</v>
      </c>
      <c r="C81" s="15">
        <v>1962</v>
      </c>
      <c r="D81" s="15">
        <v>1</v>
      </c>
      <c r="E81" s="15">
        <f>4086056+61090</f>
        <v>4147146</v>
      </c>
      <c r="F81" s="15" t="s">
        <v>3</v>
      </c>
      <c r="G81" s="15">
        <f>80180+3478</f>
        <v>83658</v>
      </c>
      <c r="H81" s="15" t="s">
        <v>3</v>
      </c>
      <c r="I81" s="15">
        <f>1126+72</f>
        <v>1198</v>
      </c>
      <c r="J81" s="15" t="s">
        <v>3</v>
      </c>
      <c r="K81" s="15" t="s">
        <v>3</v>
      </c>
      <c r="L81" s="15" t="s">
        <v>3</v>
      </c>
      <c r="M81" s="15" t="s">
        <v>3</v>
      </c>
      <c r="N81" s="15" t="s">
        <v>3</v>
      </c>
      <c r="O81" s="15">
        <f>4167362+64640</f>
        <v>4232002</v>
      </c>
      <c r="P81" s="15" t="s">
        <v>3</v>
      </c>
      <c r="Q81" s="15" t="s">
        <v>3</v>
      </c>
      <c r="R81" s="15" t="s">
        <v>80</v>
      </c>
    </row>
    <row r="82" spans="1:18" ht="15.75" customHeight="1" x14ac:dyDescent="0.25">
      <c r="A82" s="15" t="s">
        <v>18</v>
      </c>
      <c r="B82" s="15" t="s">
        <v>19</v>
      </c>
      <c r="C82" s="15">
        <v>1963</v>
      </c>
      <c r="D82" s="15">
        <v>0</v>
      </c>
      <c r="E82" s="15">
        <v>4016862</v>
      </c>
      <c r="F82" s="15" t="s">
        <v>3</v>
      </c>
      <c r="G82" s="15">
        <v>80044</v>
      </c>
      <c r="H82" s="15" t="s">
        <v>3</v>
      </c>
      <c r="I82" s="15">
        <v>1114</v>
      </c>
      <c r="J82" s="15" t="s">
        <v>3</v>
      </c>
      <c r="K82" s="15" t="s">
        <v>3</v>
      </c>
      <c r="L82" s="15" t="s">
        <v>3</v>
      </c>
      <c r="M82" s="15" t="s">
        <v>3</v>
      </c>
      <c r="N82" s="15" t="s">
        <v>3</v>
      </c>
      <c r="O82" s="15">
        <v>4098020</v>
      </c>
      <c r="P82" s="15" t="s">
        <v>3</v>
      </c>
      <c r="Q82" s="15" t="s">
        <v>3</v>
      </c>
      <c r="R82" s="15" t="s">
        <v>81</v>
      </c>
    </row>
    <row r="83" spans="1:18" ht="15.75" customHeight="1" x14ac:dyDescent="0.25">
      <c r="A83" s="15" t="s">
        <v>18</v>
      </c>
      <c r="B83" s="15" t="s">
        <v>19</v>
      </c>
      <c r="C83" s="15">
        <v>1963</v>
      </c>
      <c r="D83" s="15">
        <v>1</v>
      </c>
      <c r="E83" s="15">
        <f>4016862+61090</f>
        <v>4077952</v>
      </c>
      <c r="F83" s="15" t="s">
        <v>3</v>
      </c>
      <c r="G83" s="15">
        <f>80044+3478</f>
        <v>83522</v>
      </c>
      <c r="H83" s="15" t="s">
        <v>3</v>
      </c>
      <c r="I83" s="15">
        <f>1114+72</f>
        <v>1186</v>
      </c>
      <c r="J83" s="15" t="s">
        <v>3</v>
      </c>
      <c r="K83" s="15" t="s">
        <v>3</v>
      </c>
      <c r="L83" s="15" t="s">
        <v>3</v>
      </c>
      <c r="M83" s="15" t="s">
        <v>3</v>
      </c>
      <c r="N83" s="15" t="s">
        <v>3</v>
      </c>
      <c r="O83" s="15">
        <f>4098020+64640</f>
        <v>4162660</v>
      </c>
      <c r="P83" s="15" t="s">
        <v>3</v>
      </c>
      <c r="Q83" s="15" t="s">
        <v>3</v>
      </c>
      <c r="R83" s="15" t="s">
        <v>80</v>
      </c>
    </row>
    <row r="84" spans="1:18" ht="15.75" customHeight="1" x14ac:dyDescent="0.25">
      <c r="A84" s="15" t="s">
        <v>18</v>
      </c>
      <c r="B84" s="15" t="s">
        <v>19</v>
      </c>
      <c r="C84" s="15">
        <v>1964</v>
      </c>
      <c r="D84" s="15">
        <v>0</v>
      </c>
      <c r="E84" s="15">
        <v>3947334</v>
      </c>
      <c r="F84" s="15" t="s">
        <v>3</v>
      </c>
      <c r="G84" s="15">
        <v>78954</v>
      </c>
      <c r="H84" s="15" t="s">
        <v>3</v>
      </c>
      <c r="I84" s="15">
        <v>1202</v>
      </c>
      <c r="J84" s="15" t="s">
        <v>3</v>
      </c>
      <c r="K84" s="15" t="s">
        <v>3</v>
      </c>
      <c r="L84" s="15" t="s">
        <v>3</v>
      </c>
      <c r="M84" s="15" t="s">
        <v>3</v>
      </c>
      <c r="N84" s="15" t="s">
        <v>3</v>
      </c>
      <c r="O84" s="15">
        <v>4027490</v>
      </c>
      <c r="P84" s="15" t="s">
        <v>3</v>
      </c>
      <c r="Q84" s="15" t="s">
        <v>3</v>
      </c>
      <c r="R84" s="15" t="s">
        <v>81</v>
      </c>
    </row>
    <row r="85" spans="1:18" ht="15.75" customHeight="1" x14ac:dyDescent="0.25">
      <c r="A85" s="15" t="s">
        <v>18</v>
      </c>
      <c r="B85" s="15" t="s">
        <v>19</v>
      </c>
      <c r="C85" s="15">
        <v>1964</v>
      </c>
      <c r="D85" s="15">
        <v>1</v>
      </c>
      <c r="E85" s="15">
        <f>3947334+62383</f>
        <v>4009717</v>
      </c>
      <c r="F85" s="15" t="s">
        <v>3</v>
      </c>
      <c r="G85" s="15">
        <f>78954+3468</f>
        <v>82422</v>
      </c>
      <c r="H85" s="15" t="s">
        <v>3</v>
      </c>
      <c r="I85" s="15">
        <f>1202+80</f>
        <v>1282</v>
      </c>
      <c r="J85" s="15" t="s">
        <v>3</v>
      </c>
      <c r="K85" s="15" t="s">
        <v>3</v>
      </c>
      <c r="L85" s="15" t="s">
        <v>3</v>
      </c>
      <c r="M85" s="15" t="s">
        <v>3</v>
      </c>
      <c r="N85" s="15" t="s">
        <v>3</v>
      </c>
      <c r="O85" s="15">
        <f>4027490+65931</f>
        <v>4093421</v>
      </c>
      <c r="P85" s="15" t="s">
        <v>3</v>
      </c>
      <c r="Q85" s="15" t="s">
        <v>3</v>
      </c>
      <c r="R85" s="15" t="s">
        <v>80</v>
      </c>
    </row>
    <row r="86" spans="1:18" ht="15.75" customHeight="1" x14ac:dyDescent="0.25">
      <c r="A86" s="15" t="s">
        <v>18</v>
      </c>
      <c r="B86" s="15" t="s">
        <v>19</v>
      </c>
      <c r="C86" s="15">
        <v>1965</v>
      </c>
      <c r="D86" s="15">
        <v>0</v>
      </c>
      <c r="E86" s="15">
        <v>3684752</v>
      </c>
      <c r="F86" s="15" t="s">
        <v>3</v>
      </c>
      <c r="G86" s="15">
        <v>74594</v>
      </c>
      <c r="H86" s="15" t="s">
        <v>3</v>
      </c>
      <c r="I86" s="15">
        <v>1012</v>
      </c>
      <c r="J86" s="15" t="s">
        <v>3</v>
      </c>
      <c r="K86" s="15" t="s">
        <v>3</v>
      </c>
      <c r="L86" s="15" t="s">
        <v>3</v>
      </c>
      <c r="M86" s="15" t="s">
        <v>3</v>
      </c>
      <c r="N86" s="15" t="s">
        <v>3</v>
      </c>
      <c r="O86" s="15">
        <v>3760358</v>
      </c>
      <c r="P86" s="15" t="s">
        <v>3</v>
      </c>
      <c r="Q86" s="15" t="s">
        <v>3</v>
      </c>
      <c r="R86" s="15" t="s">
        <v>81</v>
      </c>
    </row>
    <row r="87" spans="1:18" ht="15.75" customHeight="1" x14ac:dyDescent="0.25">
      <c r="A87" s="15" t="s">
        <v>18</v>
      </c>
      <c r="B87" s="15" t="s">
        <v>19</v>
      </c>
      <c r="C87" s="15">
        <v>1965</v>
      </c>
      <c r="D87" s="15">
        <v>1</v>
      </c>
      <c r="E87" s="15">
        <f>3684752+57469</f>
        <v>3742221</v>
      </c>
      <c r="F87" s="15" t="s">
        <v>3</v>
      </c>
      <c r="G87" s="15">
        <f>74594+3270</f>
        <v>77864</v>
      </c>
      <c r="H87" s="15" t="s">
        <v>3</v>
      </c>
      <c r="I87" s="15">
        <f>1012+120</f>
        <v>1132</v>
      </c>
      <c r="J87" s="15" t="s">
        <v>3</v>
      </c>
      <c r="K87" s="15" t="s">
        <v>3</v>
      </c>
      <c r="L87" s="15" t="s">
        <v>3</v>
      </c>
      <c r="M87" s="15" t="s">
        <v>3</v>
      </c>
      <c r="N87" s="15" t="s">
        <v>3</v>
      </c>
      <c r="O87" s="15">
        <f>3760358+60859</f>
        <v>3821217</v>
      </c>
      <c r="P87" s="15" t="s">
        <v>3</v>
      </c>
      <c r="Q87" s="15" t="s">
        <v>3</v>
      </c>
      <c r="R87" s="15" t="s">
        <v>80</v>
      </c>
    </row>
    <row r="88" spans="1:18" ht="15.75" customHeight="1" x14ac:dyDescent="0.25">
      <c r="A88" s="15" t="s">
        <v>18</v>
      </c>
      <c r="B88" s="15" t="s">
        <v>19</v>
      </c>
      <c r="C88" s="15">
        <v>1966</v>
      </c>
      <c r="D88" s="15">
        <v>0</v>
      </c>
      <c r="E88" s="15">
        <v>3534962</v>
      </c>
      <c r="F88" s="15" t="s">
        <v>3</v>
      </c>
      <c r="G88" s="15">
        <v>70340</v>
      </c>
      <c r="H88" s="15" t="s">
        <v>3</v>
      </c>
      <c r="I88" s="15">
        <v>972</v>
      </c>
      <c r="J88" s="15" t="s">
        <v>3</v>
      </c>
      <c r="K88" s="15" t="s">
        <v>3</v>
      </c>
      <c r="L88" s="15" t="s">
        <v>3</v>
      </c>
      <c r="M88" s="15" t="s">
        <v>3</v>
      </c>
      <c r="N88" s="15" t="s">
        <v>3</v>
      </c>
      <c r="O88" s="15">
        <v>3606274</v>
      </c>
      <c r="P88" s="15" t="s">
        <v>3</v>
      </c>
      <c r="Q88" s="15" t="s">
        <v>3</v>
      </c>
      <c r="R88" s="15" t="s">
        <v>81</v>
      </c>
    </row>
    <row r="89" spans="1:18" ht="15.75" customHeight="1" x14ac:dyDescent="0.25">
      <c r="A89" s="15" t="s">
        <v>18</v>
      </c>
      <c r="B89" s="15" t="s">
        <v>19</v>
      </c>
      <c r="C89" s="15">
        <v>1966</v>
      </c>
      <c r="D89" s="15">
        <v>1</v>
      </c>
      <c r="E89" s="15">
        <f>3534962+53359</f>
        <v>3588321</v>
      </c>
      <c r="F89" s="15" t="s">
        <v>3</v>
      </c>
      <c r="G89" s="15">
        <f>70340+3182</f>
        <v>73522</v>
      </c>
      <c r="H89" s="15" t="s">
        <v>3</v>
      </c>
      <c r="I89" s="15">
        <f>972+96</f>
        <v>1068</v>
      </c>
      <c r="J89" s="15" t="s">
        <v>3</v>
      </c>
      <c r="K89" s="15" t="s">
        <v>3</v>
      </c>
      <c r="L89" s="15" t="s">
        <v>3</v>
      </c>
      <c r="M89" s="15" t="s">
        <v>3</v>
      </c>
      <c r="N89" s="15" t="s">
        <v>3</v>
      </c>
      <c r="O89" s="15">
        <f>3606274+56637</f>
        <v>3662911</v>
      </c>
      <c r="P89" s="15" t="s">
        <v>3</v>
      </c>
      <c r="Q89" s="15" t="s">
        <v>3</v>
      </c>
      <c r="R89" s="15" t="s">
        <v>80</v>
      </c>
    </row>
    <row r="90" spans="1:18" ht="15.75" customHeight="1" x14ac:dyDescent="0.25">
      <c r="A90" s="15" t="s">
        <v>18</v>
      </c>
      <c r="B90" s="15" t="s">
        <v>19</v>
      </c>
      <c r="C90" s="15">
        <v>1967</v>
      </c>
      <c r="D90" s="15">
        <v>0</v>
      </c>
      <c r="E90" s="15">
        <v>3451594</v>
      </c>
      <c r="F90" s="15" t="s">
        <v>3</v>
      </c>
      <c r="G90" s="15">
        <v>68336</v>
      </c>
      <c r="H90" s="15" t="s">
        <v>3</v>
      </c>
      <c r="I90" s="15">
        <v>1029</v>
      </c>
      <c r="J90" s="15" t="s">
        <v>3</v>
      </c>
      <c r="K90" s="15" t="s">
        <v>3</v>
      </c>
      <c r="L90" s="15" t="s">
        <v>3</v>
      </c>
      <c r="M90" s="15" t="s">
        <v>3</v>
      </c>
      <c r="N90" s="15" t="s">
        <v>3</v>
      </c>
      <c r="O90" s="15">
        <v>3520959</v>
      </c>
      <c r="P90" s="15" t="s">
        <v>3</v>
      </c>
      <c r="Q90" s="15" t="s">
        <v>3</v>
      </c>
      <c r="R90" s="15" t="s">
        <v>81</v>
      </c>
    </row>
    <row r="91" spans="1:18" ht="15.75" customHeight="1" x14ac:dyDescent="0.25">
      <c r="A91" s="15" t="s">
        <v>18</v>
      </c>
      <c r="B91" s="15" t="s">
        <v>19</v>
      </c>
      <c r="C91" s="15">
        <v>1967</v>
      </c>
      <c r="D91" s="15">
        <v>1</v>
      </c>
      <c r="E91" s="15">
        <f>3451594+51829</f>
        <v>3503423</v>
      </c>
      <c r="F91" s="15" t="s">
        <v>3</v>
      </c>
      <c r="G91" s="15">
        <f>68336+3036</f>
        <v>71372</v>
      </c>
      <c r="H91" s="15" t="s">
        <v>3</v>
      </c>
      <c r="I91" s="15">
        <f>1029+69</f>
        <v>1098</v>
      </c>
      <c r="J91" s="15" t="s">
        <v>3</v>
      </c>
      <c r="K91" s="15" t="s">
        <v>3</v>
      </c>
      <c r="L91" s="15" t="s">
        <v>3</v>
      </c>
      <c r="M91" s="15" t="s">
        <v>3</v>
      </c>
      <c r="N91" s="15" t="s">
        <v>3</v>
      </c>
      <c r="O91" s="15">
        <f>3520959+54934</f>
        <v>3575893</v>
      </c>
      <c r="P91" s="15" t="s">
        <v>3</v>
      </c>
      <c r="Q91" s="15" t="s">
        <v>3</v>
      </c>
      <c r="R91" s="15" t="s">
        <v>80</v>
      </c>
    </row>
    <row r="92" spans="1:18" ht="15.75" customHeight="1" x14ac:dyDescent="0.25">
      <c r="A92" s="15" t="s">
        <v>18</v>
      </c>
      <c r="B92" s="15" t="s">
        <v>19</v>
      </c>
      <c r="C92" s="15">
        <v>1968</v>
      </c>
      <c r="D92" s="15">
        <v>0</v>
      </c>
      <c r="E92" s="15">
        <v>3431156</v>
      </c>
      <c r="F92" s="15" t="s">
        <v>3</v>
      </c>
      <c r="G92" s="15">
        <v>69300</v>
      </c>
      <c r="H92" s="15" t="s">
        <v>3</v>
      </c>
      <c r="I92" s="15">
        <v>1108</v>
      </c>
      <c r="J92" s="15" t="s">
        <v>3</v>
      </c>
      <c r="K92" s="15" t="s">
        <v>3</v>
      </c>
      <c r="L92" s="15" t="s">
        <v>3</v>
      </c>
      <c r="M92" s="15" t="s">
        <v>3</v>
      </c>
      <c r="N92" s="15" t="s">
        <v>3</v>
      </c>
      <c r="O92" s="15">
        <v>3501564</v>
      </c>
      <c r="P92" s="15" t="s">
        <v>3</v>
      </c>
      <c r="Q92" s="15" t="s">
        <v>3</v>
      </c>
      <c r="R92" s="15" t="s">
        <v>81</v>
      </c>
    </row>
    <row r="93" spans="1:18" ht="15.75" customHeight="1" x14ac:dyDescent="0.25">
      <c r="A93" s="15" t="s">
        <v>18</v>
      </c>
      <c r="B93" s="15" t="s">
        <v>19</v>
      </c>
      <c r="C93" s="15">
        <v>1968</v>
      </c>
      <c r="D93" s="15">
        <v>1</v>
      </c>
      <c r="E93" s="15">
        <f>3431156+52249</f>
        <v>3483405</v>
      </c>
      <c r="F93" s="15" t="s">
        <v>3</v>
      </c>
      <c r="G93" s="15">
        <f>69300+2969</f>
        <v>72269</v>
      </c>
      <c r="H93" s="15" t="s">
        <v>3</v>
      </c>
      <c r="I93" s="15">
        <f>1108+75</f>
        <v>1183</v>
      </c>
      <c r="J93" s="15" t="s">
        <v>3</v>
      </c>
      <c r="K93" s="15" t="s">
        <v>3</v>
      </c>
      <c r="L93" s="15" t="s">
        <v>3</v>
      </c>
      <c r="M93" s="15" t="s">
        <v>3</v>
      </c>
      <c r="N93" s="15" t="s">
        <v>3</v>
      </c>
      <c r="O93" s="15">
        <f>3501564+55293</f>
        <v>3556857</v>
      </c>
      <c r="P93" s="15" t="s">
        <v>3</v>
      </c>
      <c r="Q93" s="15" t="s">
        <v>3</v>
      </c>
      <c r="R93" s="15" t="s">
        <v>80</v>
      </c>
    </row>
    <row r="94" spans="1:18" ht="15.75" customHeight="1" x14ac:dyDescent="0.25">
      <c r="A94" s="15" t="s">
        <v>18</v>
      </c>
      <c r="B94" s="15" t="s">
        <v>19</v>
      </c>
      <c r="C94" s="15">
        <v>1969</v>
      </c>
      <c r="D94" s="15">
        <v>0</v>
      </c>
      <c r="E94" s="15" t="s">
        <v>3</v>
      </c>
      <c r="F94" s="15" t="s">
        <v>3</v>
      </c>
      <c r="G94" s="15" t="s">
        <v>3</v>
      </c>
      <c r="H94" s="15" t="s">
        <v>3</v>
      </c>
      <c r="I94" s="15" t="s">
        <v>3</v>
      </c>
      <c r="J94" s="15" t="s">
        <v>3</v>
      </c>
      <c r="K94" s="15" t="s">
        <v>3</v>
      </c>
      <c r="L94" s="15" t="s">
        <v>3</v>
      </c>
      <c r="M94" s="15" t="s">
        <v>3</v>
      </c>
      <c r="N94" s="15" t="s">
        <v>3</v>
      </c>
      <c r="O94" s="15">
        <v>3600206</v>
      </c>
      <c r="P94" s="15" t="s">
        <v>3</v>
      </c>
      <c r="Q94" s="15" t="s">
        <v>3</v>
      </c>
      <c r="R94" s="15" t="s">
        <v>81</v>
      </c>
    </row>
    <row r="95" spans="1:18" ht="15.75" customHeight="1" x14ac:dyDescent="0.25">
      <c r="A95" s="15" t="s">
        <v>18</v>
      </c>
      <c r="B95" s="15" t="s">
        <v>19</v>
      </c>
      <c r="C95" s="15">
        <v>1970</v>
      </c>
      <c r="D95" s="15">
        <v>0</v>
      </c>
      <c r="E95" s="15" t="s">
        <v>3</v>
      </c>
      <c r="F95" s="15" t="s">
        <v>3</v>
      </c>
      <c r="G95" s="15" t="s">
        <v>3</v>
      </c>
      <c r="H95" s="15" t="s">
        <v>3</v>
      </c>
      <c r="I95" s="15" t="s">
        <v>3</v>
      </c>
      <c r="J95" s="15" t="s">
        <v>3</v>
      </c>
      <c r="K95" s="15" t="s">
        <v>3</v>
      </c>
      <c r="L95" s="15" t="s">
        <v>3</v>
      </c>
      <c r="M95" s="15" t="s">
        <v>3</v>
      </c>
      <c r="N95" s="15" t="s">
        <v>3</v>
      </c>
      <c r="O95" s="15">
        <v>3731388</v>
      </c>
      <c r="P95" s="15" t="s">
        <v>3</v>
      </c>
      <c r="Q95" s="15" t="s">
        <v>3</v>
      </c>
      <c r="R95" s="15" t="s">
        <v>82</v>
      </c>
    </row>
    <row r="96" spans="1:18" ht="15.75" customHeight="1" x14ac:dyDescent="0.25">
      <c r="A96" s="15" t="s">
        <v>18</v>
      </c>
      <c r="B96" s="15" t="s">
        <v>19</v>
      </c>
      <c r="C96" s="15">
        <v>1971</v>
      </c>
      <c r="D96" s="15">
        <v>0</v>
      </c>
      <c r="E96" s="15">
        <v>3491638</v>
      </c>
      <c r="F96" s="15" t="s">
        <v>3</v>
      </c>
      <c r="G96" s="15">
        <v>63298</v>
      </c>
      <c r="H96" s="15" t="s">
        <v>3</v>
      </c>
      <c r="I96" s="15">
        <v>1034</v>
      </c>
      <c r="J96" s="15" t="s">
        <v>3</v>
      </c>
      <c r="K96" s="15" t="s">
        <v>3</v>
      </c>
      <c r="L96" s="15" t="s">
        <v>3</v>
      </c>
      <c r="M96" s="15" t="s">
        <v>3</v>
      </c>
      <c r="N96" s="15" t="s">
        <v>3</v>
      </c>
      <c r="O96" s="15">
        <v>3555970</v>
      </c>
      <c r="P96" s="15" t="s">
        <v>3</v>
      </c>
      <c r="Q96" s="15" t="s">
        <v>3</v>
      </c>
      <c r="R96" s="15" t="s">
        <v>82</v>
      </c>
    </row>
    <row r="97" spans="1:18" ht="15.75" customHeight="1" x14ac:dyDescent="0.25">
      <c r="A97" s="15" t="s">
        <v>18</v>
      </c>
      <c r="B97" s="15" t="s">
        <v>19</v>
      </c>
      <c r="C97" s="15">
        <v>1971</v>
      </c>
      <c r="D97" s="15">
        <v>1</v>
      </c>
      <c r="E97" s="15">
        <f>3491638+45069</f>
        <v>3536707</v>
      </c>
      <c r="F97" s="15" t="s">
        <v>3</v>
      </c>
      <c r="G97" s="15">
        <f>63298+2675</f>
        <v>65973</v>
      </c>
      <c r="H97" s="15" t="s">
        <v>3</v>
      </c>
      <c r="I97" s="15">
        <f>1034+74</f>
        <v>1108</v>
      </c>
      <c r="J97" s="15" t="s">
        <v>3</v>
      </c>
      <c r="K97" s="15" t="s">
        <v>3</v>
      </c>
      <c r="L97" s="15" t="s">
        <v>3</v>
      </c>
      <c r="M97" s="15" t="s">
        <v>3</v>
      </c>
      <c r="N97" s="15" t="s">
        <v>3</v>
      </c>
      <c r="O97" s="15">
        <f>3555970+47818</f>
        <v>3603788</v>
      </c>
      <c r="P97" s="15" t="s">
        <v>3</v>
      </c>
      <c r="Q97" s="15" t="s">
        <v>3</v>
      </c>
      <c r="R97" s="15" t="s">
        <v>83</v>
      </c>
    </row>
    <row r="98" spans="1:18" ht="15.75" customHeight="1" x14ac:dyDescent="0.25">
      <c r="A98" s="15" t="s">
        <v>18</v>
      </c>
      <c r="B98" s="15" t="s">
        <v>19</v>
      </c>
      <c r="C98" s="15">
        <v>1972</v>
      </c>
      <c r="D98" s="15">
        <v>0</v>
      </c>
      <c r="E98" s="15">
        <v>3198382</v>
      </c>
      <c r="F98" s="15" t="s">
        <v>3</v>
      </c>
      <c r="G98" s="15">
        <v>59122</v>
      </c>
      <c r="H98" s="15" t="s">
        <v>3</v>
      </c>
      <c r="I98" s="15">
        <v>907</v>
      </c>
      <c r="J98" s="15" t="s">
        <v>3</v>
      </c>
      <c r="K98" s="15" t="s">
        <v>3</v>
      </c>
      <c r="L98" s="15" t="s">
        <v>3</v>
      </c>
      <c r="M98" s="15" t="s">
        <v>3</v>
      </c>
      <c r="N98" s="15" t="s">
        <v>3</v>
      </c>
      <c r="O98" s="15">
        <v>3258411</v>
      </c>
      <c r="P98" s="15" t="s">
        <v>3</v>
      </c>
      <c r="Q98" s="15" t="s">
        <v>3</v>
      </c>
      <c r="R98" s="15" t="s">
        <v>82</v>
      </c>
    </row>
    <row r="99" spans="1:18" ht="15.75" customHeight="1" x14ac:dyDescent="0.25">
      <c r="A99" s="15" t="s">
        <v>18</v>
      </c>
      <c r="B99" s="15" t="s">
        <v>19</v>
      </c>
      <c r="C99" s="15">
        <v>1972</v>
      </c>
      <c r="D99" s="15">
        <v>1</v>
      </c>
      <c r="E99" s="15">
        <f>3198382+38724</f>
        <v>3237106</v>
      </c>
      <c r="F99" s="15" t="s">
        <v>3</v>
      </c>
      <c r="G99" s="15">
        <f>59122+2595</f>
        <v>61717</v>
      </c>
      <c r="H99" s="15" t="s">
        <v>3</v>
      </c>
      <c r="I99" s="15">
        <f>907+61</f>
        <v>968</v>
      </c>
      <c r="J99" s="15" t="s">
        <v>3</v>
      </c>
      <c r="K99" s="15" t="s">
        <v>3</v>
      </c>
      <c r="L99" s="15" t="s">
        <v>3</v>
      </c>
      <c r="M99" s="15" t="s">
        <v>3</v>
      </c>
      <c r="N99" s="15" t="s">
        <v>3</v>
      </c>
      <c r="O99" s="15">
        <f>3258411+41380</f>
        <v>3299791</v>
      </c>
      <c r="P99" s="15" t="s">
        <v>3</v>
      </c>
      <c r="Q99" s="15" t="s">
        <v>3</v>
      </c>
      <c r="R99" s="15" t="s">
        <v>83</v>
      </c>
    </row>
    <row r="100" spans="1:18" ht="15.75" customHeight="1" x14ac:dyDescent="0.25">
      <c r="A100" s="15" t="s">
        <v>18</v>
      </c>
      <c r="B100" s="15" t="s">
        <v>19</v>
      </c>
      <c r="C100" s="15">
        <v>1973</v>
      </c>
      <c r="D100" s="15">
        <v>0</v>
      </c>
      <c r="E100" s="15">
        <v>3079244</v>
      </c>
      <c r="F100" s="15" t="s">
        <v>3</v>
      </c>
      <c r="G100" s="15">
        <v>56777</v>
      </c>
      <c r="H100" s="15" t="s">
        <v>3</v>
      </c>
      <c r="I100" s="15">
        <v>944</v>
      </c>
      <c r="J100" s="15" t="s">
        <v>3</v>
      </c>
      <c r="K100" s="15" t="s">
        <v>3</v>
      </c>
      <c r="L100" s="15" t="s">
        <v>3</v>
      </c>
      <c r="M100" s="15" t="s">
        <v>3</v>
      </c>
      <c r="N100" s="15" t="s">
        <v>3</v>
      </c>
      <c r="O100" s="15">
        <v>3136965</v>
      </c>
      <c r="P100" s="15" t="s">
        <v>3</v>
      </c>
      <c r="Q100" s="15" t="s">
        <v>3</v>
      </c>
      <c r="R100" s="15" t="s">
        <v>82</v>
      </c>
    </row>
    <row r="101" spans="1:18" ht="15.75" customHeight="1" x14ac:dyDescent="0.25">
      <c r="A101" s="15" t="s">
        <v>18</v>
      </c>
      <c r="B101" s="15" t="s">
        <v>19</v>
      </c>
      <c r="C101" s="15">
        <v>1973</v>
      </c>
      <c r="D101" s="15">
        <v>1</v>
      </c>
      <c r="E101" s="15">
        <f>3079244+35773</f>
        <v>3115017</v>
      </c>
      <c r="F101" s="15" t="s">
        <v>3</v>
      </c>
      <c r="G101" s="15">
        <f>56777+2466</f>
        <v>59243</v>
      </c>
      <c r="H101" s="15" t="s">
        <v>3</v>
      </c>
      <c r="I101" s="15">
        <f>944+70</f>
        <v>1014</v>
      </c>
      <c r="J101" s="15" t="s">
        <v>3</v>
      </c>
      <c r="K101" s="15" t="s">
        <v>3</v>
      </c>
      <c r="L101" s="15" t="s">
        <v>3</v>
      </c>
      <c r="M101" s="15" t="s">
        <v>3</v>
      </c>
      <c r="N101" s="15" t="s">
        <v>3</v>
      </c>
      <c r="O101" s="15">
        <f>3136965+38309</f>
        <v>3175274</v>
      </c>
      <c r="P101" s="15" t="s">
        <v>3</v>
      </c>
      <c r="Q101" s="15" t="s">
        <v>3</v>
      </c>
      <c r="R101" s="15" t="s">
        <v>83</v>
      </c>
    </row>
    <row r="102" spans="1:18" ht="15.75" customHeight="1" x14ac:dyDescent="0.25">
      <c r="A102" s="15" t="s">
        <v>18</v>
      </c>
      <c r="B102" s="15" t="s">
        <v>19</v>
      </c>
      <c r="C102" s="15">
        <v>1974</v>
      </c>
      <c r="D102" s="15">
        <v>0</v>
      </c>
      <c r="E102" s="15">
        <v>3101117</v>
      </c>
      <c r="F102" s="15" t="s">
        <v>3</v>
      </c>
      <c r="G102" s="15">
        <v>57836</v>
      </c>
      <c r="H102" s="15" t="s">
        <v>3</v>
      </c>
      <c r="I102" s="15">
        <v>1005</v>
      </c>
      <c r="J102" s="15" t="s">
        <v>3</v>
      </c>
      <c r="K102" s="15" t="s">
        <v>3</v>
      </c>
      <c r="L102" s="15" t="s">
        <v>3</v>
      </c>
      <c r="M102" s="15" t="s">
        <v>3</v>
      </c>
      <c r="N102" s="15" t="s">
        <v>3</v>
      </c>
      <c r="O102" s="15">
        <v>3159958</v>
      </c>
      <c r="P102" s="15" t="s">
        <v>3</v>
      </c>
      <c r="Q102" s="15" t="s">
        <v>3</v>
      </c>
      <c r="R102" s="15" t="s">
        <v>82</v>
      </c>
    </row>
    <row r="103" spans="1:18" ht="15.75" customHeight="1" x14ac:dyDescent="0.25">
      <c r="A103" s="15" t="s">
        <v>18</v>
      </c>
      <c r="B103" s="15" t="s">
        <v>19</v>
      </c>
      <c r="C103" s="15">
        <v>1974</v>
      </c>
      <c r="D103" s="15">
        <v>1</v>
      </c>
      <c r="E103" s="15">
        <f>3101117+33787</f>
        <v>3134904</v>
      </c>
      <c r="F103" s="15" t="s">
        <v>3</v>
      </c>
      <c r="G103" s="15">
        <f>57836+2424</f>
        <v>60260</v>
      </c>
      <c r="H103" s="15" t="s">
        <v>3</v>
      </c>
      <c r="I103" s="15">
        <f>1005+70</f>
        <v>1075</v>
      </c>
      <c r="J103" s="15" t="s">
        <v>3</v>
      </c>
      <c r="K103" s="15" t="s">
        <v>3</v>
      </c>
      <c r="L103" s="15" t="s">
        <v>3</v>
      </c>
      <c r="M103" s="15" t="s">
        <v>3</v>
      </c>
      <c r="N103" s="15" t="s">
        <v>3</v>
      </c>
      <c r="O103" s="15">
        <f>3159958+36281</f>
        <v>3196239</v>
      </c>
      <c r="P103" s="15" t="s">
        <v>3</v>
      </c>
      <c r="Q103" s="15" t="s">
        <v>3</v>
      </c>
      <c r="R103" s="15" t="s">
        <v>83</v>
      </c>
    </row>
    <row r="104" spans="1:18" ht="15.75" customHeight="1" x14ac:dyDescent="0.25">
      <c r="A104" s="15" t="s">
        <v>18</v>
      </c>
      <c r="B104" s="15" t="s">
        <v>19</v>
      </c>
      <c r="C104" s="15">
        <v>1975</v>
      </c>
      <c r="D104" s="15">
        <v>0</v>
      </c>
      <c r="E104" s="15">
        <v>3083940</v>
      </c>
      <c r="F104" s="15" t="s">
        <v>3</v>
      </c>
      <c r="G104" s="15">
        <v>59192</v>
      </c>
      <c r="H104" s="15" t="s">
        <v>3</v>
      </c>
      <c r="I104" s="15">
        <v>1066</v>
      </c>
      <c r="J104" s="15" t="s">
        <v>3</v>
      </c>
      <c r="K104" s="15" t="s">
        <v>3</v>
      </c>
      <c r="L104" s="15" t="s">
        <v>3</v>
      </c>
      <c r="M104" s="15" t="s">
        <v>3</v>
      </c>
      <c r="N104" s="15" t="s">
        <v>3</v>
      </c>
      <c r="O104" s="15">
        <v>3144198</v>
      </c>
      <c r="P104" s="15" t="s">
        <v>3</v>
      </c>
      <c r="Q104" s="15" t="s">
        <v>3</v>
      </c>
      <c r="R104" s="15" t="s">
        <v>82</v>
      </c>
    </row>
    <row r="105" spans="1:18" ht="15.75" customHeight="1" x14ac:dyDescent="0.25">
      <c r="A105" s="15" t="s">
        <v>18</v>
      </c>
      <c r="B105" s="15" t="s">
        <v>19</v>
      </c>
      <c r="C105" s="15">
        <v>1975</v>
      </c>
      <c r="D105" s="15">
        <v>1</v>
      </c>
      <c r="E105" s="15">
        <f>3083940+31475</f>
        <v>3115415</v>
      </c>
      <c r="F105" s="15" t="s">
        <v>3</v>
      </c>
      <c r="G105" s="15">
        <f>59192+2251</f>
        <v>61443</v>
      </c>
      <c r="H105" s="15" t="s">
        <v>3</v>
      </c>
      <c r="I105" s="15">
        <f>1066+70</f>
        <v>1136</v>
      </c>
      <c r="J105" s="15" t="s">
        <v>3</v>
      </c>
      <c r="K105" s="15" t="s">
        <v>3</v>
      </c>
      <c r="L105" s="15" t="s">
        <v>3</v>
      </c>
      <c r="M105" s="15" t="s">
        <v>3</v>
      </c>
      <c r="N105" s="15" t="s">
        <v>3</v>
      </c>
      <c r="O105" s="15">
        <f>3144198+33796</f>
        <v>3177994</v>
      </c>
      <c r="P105" s="15" t="s">
        <v>3</v>
      </c>
      <c r="Q105" s="15" t="s">
        <v>3</v>
      </c>
      <c r="R105" s="15" t="s">
        <v>83</v>
      </c>
    </row>
    <row r="106" spans="1:18" ht="15.75" customHeight="1" x14ac:dyDescent="0.25">
      <c r="A106" s="15" t="s">
        <v>18</v>
      </c>
      <c r="B106" s="15" t="s">
        <v>19</v>
      </c>
      <c r="C106" s="15">
        <v>1976</v>
      </c>
      <c r="D106" s="15">
        <v>0</v>
      </c>
      <c r="E106" s="15">
        <v>3106038</v>
      </c>
      <c r="F106" s="15" t="s">
        <v>3</v>
      </c>
      <c r="G106" s="15">
        <v>60664</v>
      </c>
      <c r="H106" s="15" t="s">
        <v>3</v>
      </c>
      <c r="I106" s="15">
        <v>1086</v>
      </c>
      <c r="J106" s="15" t="s">
        <v>3</v>
      </c>
      <c r="K106" s="15" t="s">
        <v>3</v>
      </c>
      <c r="L106" s="15" t="s">
        <v>3</v>
      </c>
      <c r="M106" s="15" t="s">
        <v>3</v>
      </c>
      <c r="N106" s="15" t="s">
        <v>3</v>
      </c>
      <c r="O106" s="15">
        <v>3167788</v>
      </c>
      <c r="P106" s="15" t="s">
        <v>3</v>
      </c>
      <c r="Q106" s="15" t="s">
        <v>3</v>
      </c>
      <c r="R106" s="15" t="s">
        <v>82</v>
      </c>
    </row>
    <row r="107" spans="1:18" ht="15.75" customHeight="1" x14ac:dyDescent="0.25">
      <c r="A107" s="15" t="s">
        <v>18</v>
      </c>
      <c r="B107" s="15" t="s">
        <v>19</v>
      </c>
      <c r="C107" s="15">
        <v>1976</v>
      </c>
      <c r="D107" s="15">
        <v>1</v>
      </c>
      <c r="E107" s="15">
        <f>3106038+30701</f>
        <v>3136739</v>
      </c>
      <c r="F107" s="15" t="s">
        <v>3</v>
      </c>
      <c r="G107" s="15">
        <f>60664+2311</f>
        <v>62975</v>
      </c>
      <c r="H107" s="15" t="s">
        <v>3</v>
      </c>
      <c r="I107" s="15">
        <f>1086+99</f>
        <v>1185</v>
      </c>
      <c r="J107" s="15" t="s">
        <v>3</v>
      </c>
      <c r="K107" s="15" t="s">
        <v>3</v>
      </c>
      <c r="L107" s="15" t="s">
        <v>3</v>
      </c>
      <c r="M107" s="15" t="s">
        <v>3</v>
      </c>
      <c r="N107" s="15" t="s">
        <v>3</v>
      </c>
      <c r="O107" s="15">
        <f>3167788+33111</f>
        <v>3200899</v>
      </c>
      <c r="P107" s="15" t="s">
        <v>3</v>
      </c>
      <c r="Q107" s="15" t="s">
        <v>3</v>
      </c>
      <c r="R107" s="15" t="s">
        <v>83</v>
      </c>
    </row>
    <row r="108" spans="1:18" ht="15.75" customHeight="1" x14ac:dyDescent="0.25">
      <c r="A108" s="15" t="s">
        <v>18</v>
      </c>
      <c r="B108" s="15" t="s">
        <v>19</v>
      </c>
      <c r="C108" s="15">
        <v>1977</v>
      </c>
      <c r="D108" s="15">
        <v>0</v>
      </c>
      <c r="E108" s="15">
        <v>3262676</v>
      </c>
      <c r="F108" s="15" t="s">
        <v>3</v>
      </c>
      <c r="G108" s="15">
        <v>62880</v>
      </c>
      <c r="H108" s="15" t="s">
        <v>3</v>
      </c>
      <c r="I108" s="15">
        <v>1076</v>
      </c>
      <c r="J108" s="15" t="s">
        <v>3</v>
      </c>
      <c r="K108" s="15" t="s">
        <v>3</v>
      </c>
      <c r="L108" s="15" t="s">
        <v>3</v>
      </c>
      <c r="M108" s="15" t="s">
        <v>3</v>
      </c>
      <c r="N108" s="15" t="s">
        <v>3</v>
      </c>
      <c r="O108" s="15">
        <v>3326632</v>
      </c>
      <c r="P108" s="15" t="s">
        <v>3</v>
      </c>
      <c r="Q108" s="15" t="s">
        <v>3</v>
      </c>
      <c r="R108" s="15" t="s">
        <v>82</v>
      </c>
    </row>
    <row r="109" spans="1:18" ht="15.75" customHeight="1" x14ac:dyDescent="0.25">
      <c r="A109" s="15" t="s">
        <v>18</v>
      </c>
      <c r="B109" s="15" t="s">
        <v>19</v>
      </c>
      <c r="C109" s="15">
        <v>1977</v>
      </c>
      <c r="D109" s="15">
        <v>1</v>
      </c>
      <c r="E109" s="15">
        <f>3262676+30691</f>
        <v>3293367</v>
      </c>
      <c r="F109" s="15" t="s">
        <v>3</v>
      </c>
      <c r="G109" s="15">
        <f>62880+2284</f>
        <v>65164</v>
      </c>
      <c r="H109" s="15" t="s">
        <v>3</v>
      </c>
      <c r="I109" s="15">
        <f>1076+78</f>
        <v>1154</v>
      </c>
      <c r="J109" s="15" t="s">
        <v>3</v>
      </c>
      <c r="K109" s="15" t="s">
        <v>3</v>
      </c>
      <c r="L109" s="15" t="s">
        <v>3</v>
      </c>
      <c r="M109" s="15" t="s">
        <v>3</v>
      </c>
      <c r="N109" s="15" t="s">
        <v>3</v>
      </c>
      <c r="O109" s="15">
        <f>3326632+33053</f>
        <v>3359685</v>
      </c>
      <c r="P109" s="15" t="s">
        <v>3</v>
      </c>
      <c r="Q109" s="15" t="s">
        <v>3</v>
      </c>
      <c r="R109" s="15" t="s">
        <v>83</v>
      </c>
    </row>
    <row r="110" spans="1:18" ht="15.75" customHeight="1" x14ac:dyDescent="0.25">
      <c r="A110" s="15" t="s">
        <v>18</v>
      </c>
      <c r="B110" s="15" t="s">
        <v>19</v>
      </c>
      <c r="C110" s="15">
        <v>1978</v>
      </c>
      <c r="D110" s="15">
        <v>0</v>
      </c>
      <c r="E110" s="15">
        <v>3267931</v>
      </c>
      <c r="F110" s="15" t="s">
        <v>3</v>
      </c>
      <c r="G110" s="15">
        <v>64163</v>
      </c>
      <c r="H110" s="15" t="s">
        <v>3</v>
      </c>
      <c r="I110" s="15">
        <v>1185</v>
      </c>
      <c r="J110" s="15" t="s">
        <v>3</v>
      </c>
      <c r="K110" s="15" t="s">
        <v>3</v>
      </c>
      <c r="L110" s="15" t="s">
        <v>3</v>
      </c>
      <c r="M110" s="15" t="s">
        <v>3</v>
      </c>
      <c r="N110" s="15" t="s">
        <v>3</v>
      </c>
      <c r="O110" s="15">
        <v>3333279</v>
      </c>
      <c r="P110" s="15" t="s">
        <v>3</v>
      </c>
      <c r="Q110" s="15" t="s">
        <v>3</v>
      </c>
      <c r="R110" s="15" t="s">
        <v>82</v>
      </c>
    </row>
    <row r="111" spans="1:18" ht="15.75" customHeight="1" x14ac:dyDescent="0.25">
      <c r="A111" s="15" t="s">
        <v>18</v>
      </c>
      <c r="B111" s="15" t="s">
        <v>19</v>
      </c>
      <c r="C111" s="15">
        <v>1978</v>
      </c>
      <c r="D111" s="15">
        <v>1</v>
      </c>
      <c r="E111" s="15">
        <f>3267931+30031</f>
        <v>3297962</v>
      </c>
      <c r="F111" s="15" t="s">
        <v>3</v>
      </c>
      <c r="G111" s="15">
        <f>64163+2184</f>
        <v>66347</v>
      </c>
      <c r="H111" s="15" t="s">
        <v>3</v>
      </c>
      <c r="I111" s="15">
        <f>1185+86</f>
        <v>1271</v>
      </c>
      <c r="J111" s="15" t="s">
        <v>3</v>
      </c>
      <c r="K111" s="15" t="s">
        <v>3</v>
      </c>
      <c r="L111" s="15" t="s">
        <v>3</v>
      </c>
      <c r="M111" s="15" t="s">
        <v>3</v>
      </c>
      <c r="N111" s="15" t="s">
        <v>3</v>
      </c>
      <c r="O111" s="15">
        <f>3333279+32301</f>
        <v>3365580</v>
      </c>
      <c r="P111" s="15" t="s">
        <v>3</v>
      </c>
      <c r="Q111" s="15" t="s">
        <v>3</v>
      </c>
      <c r="R111" s="15" t="s">
        <v>83</v>
      </c>
    </row>
    <row r="112" spans="1:18" ht="15.75" customHeight="1" x14ac:dyDescent="0.25">
      <c r="A112" s="15" t="s">
        <v>18</v>
      </c>
      <c r="B112" s="15" t="s">
        <v>19</v>
      </c>
      <c r="C112" s="15">
        <v>1979</v>
      </c>
      <c r="D112" s="15">
        <v>0</v>
      </c>
      <c r="E112" s="15">
        <v>3426338</v>
      </c>
      <c r="F112" s="15" t="s">
        <v>3</v>
      </c>
      <c r="G112" s="15">
        <v>66858</v>
      </c>
      <c r="H112" s="15" t="s">
        <v>3</v>
      </c>
      <c r="I112" s="15">
        <v>1202</v>
      </c>
      <c r="J112" s="15" t="s">
        <v>3</v>
      </c>
      <c r="K112" s="15" t="s">
        <v>3</v>
      </c>
      <c r="L112" s="15" t="s">
        <v>3</v>
      </c>
      <c r="M112" s="15" t="s">
        <v>3</v>
      </c>
      <c r="N112" s="15" t="s">
        <v>3</v>
      </c>
      <c r="O112" s="15">
        <v>3494398</v>
      </c>
      <c r="P112" s="15" t="s">
        <v>3</v>
      </c>
      <c r="Q112" s="15" t="s">
        <v>3</v>
      </c>
      <c r="R112" s="15" t="s">
        <v>82</v>
      </c>
    </row>
    <row r="113" spans="1:18" ht="15.75" customHeight="1" x14ac:dyDescent="0.25">
      <c r="A113" s="15" t="s">
        <v>18</v>
      </c>
      <c r="B113" s="15" t="s">
        <v>19</v>
      </c>
      <c r="C113" s="15">
        <v>1979</v>
      </c>
      <c r="D113" s="15">
        <v>1</v>
      </c>
      <c r="E113" s="15">
        <f>3426338+30552</f>
        <v>3456890</v>
      </c>
      <c r="F113" s="15" t="s">
        <v>3</v>
      </c>
      <c r="G113" s="15">
        <f>66858+2338</f>
        <v>69196</v>
      </c>
      <c r="H113" s="15" t="s">
        <v>3</v>
      </c>
      <c r="I113" s="15">
        <f>1202+79</f>
        <v>1281</v>
      </c>
      <c r="J113" s="15" t="s">
        <v>3</v>
      </c>
      <c r="K113" s="15" t="s">
        <v>3</v>
      </c>
      <c r="L113" s="15" t="s">
        <v>3</v>
      </c>
      <c r="M113" s="15" t="s">
        <v>3</v>
      </c>
      <c r="N113" s="15" t="s">
        <v>3</v>
      </c>
      <c r="O113" s="15">
        <f>3494398+32969</f>
        <v>3527367</v>
      </c>
      <c r="P113" s="15" t="s">
        <v>3</v>
      </c>
      <c r="Q113" s="15" t="s">
        <v>3</v>
      </c>
      <c r="R113" s="15" t="s">
        <v>83</v>
      </c>
    </row>
    <row r="114" spans="1:18" ht="15.75" customHeight="1" x14ac:dyDescent="0.25">
      <c r="A114" s="15" t="s">
        <v>18</v>
      </c>
      <c r="B114" s="15" t="s">
        <v>19</v>
      </c>
      <c r="C114" s="15">
        <v>1980</v>
      </c>
      <c r="D114" s="15">
        <v>0</v>
      </c>
      <c r="E114" s="15">
        <v>3542582</v>
      </c>
      <c r="F114" s="15" t="s">
        <v>3</v>
      </c>
      <c r="G114" s="15">
        <v>68339</v>
      </c>
      <c r="H114" s="15" t="s">
        <v>3</v>
      </c>
      <c r="I114" s="15">
        <v>1337</v>
      </c>
      <c r="J114" s="15" t="s">
        <v>3</v>
      </c>
      <c r="K114" s="15" t="s">
        <v>3</v>
      </c>
      <c r="L114" s="15" t="s">
        <v>3</v>
      </c>
      <c r="M114" s="15" t="s">
        <v>3</v>
      </c>
      <c r="N114" s="15" t="s">
        <v>3</v>
      </c>
      <c r="O114" s="15">
        <v>3612258</v>
      </c>
      <c r="P114" s="15" t="s">
        <v>3</v>
      </c>
      <c r="Q114" s="15" t="s">
        <v>3</v>
      </c>
      <c r="R114" s="15" t="s">
        <v>82</v>
      </c>
    </row>
    <row r="115" spans="1:18" ht="15.75" customHeight="1" x14ac:dyDescent="0.25">
      <c r="A115" s="15" t="s">
        <v>18</v>
      </c>
      <c r="B115" s="15" t="s">
        <v>19</v>
      </c>
      <c r="C115" s="15">
        <v>1980</v>
      </c>
      <c r="D115" s="15">
        <v>1</v>
      </c>
      <c r="E115" s="15">
        <f>3542582+31006</f>
        <v>3573588</v>
      </c>
      <c r="F115" s="15" t="s">
        <v>3</v>
      </c>
      <c r="G115" s="15">
        <f>68339+2286</f>
        <v>70625</v>
      </c>
      <c r="H115" s="15" t="s">
        <v>3</v>
      </c>
      <c r="I115" s="15">
        <f>1337+61</f>
        <v>1398</v>
      </c>
      <c r="J115" s="15" t="s">
        <v>3</v>
      </c>
      <c r="K115" s="15" t="s">
        <v>3</v>
      </c>
      <c r="L115" s="15" t="s">
        <v>3</v>
      </c>
      <c r="M115" s="15" t="s">
        <v>3</v>
      </c>
      <c r="N115" s="15" t="s">
        <v>3</v>
      </c>
      <c r="O115" s="15">
        <f>3612258+33353</f>
        <v>3645611</v>
      </c>
      <c r="P115" s="15" t="s">
        <v>3</v>
      </c>
      <c r="Q115" s="15" t="s">
        <v>3</v>
      </c>
      <c r="R115" s="15" t="s">
        <v>83</v>
      </c>
    </row>
    <row r="116" spans="1:18" ht="15.75" customHeight="1" x14ac:dyDescent="0.25">
      <c r="A116" s="15" t="s">
        <v>18</v>
      </c>
      <c r="B116" s="15" t="s">
        <v>19</v>
      </c>
      <c r="C116" s="15">
        <v>1981</v>
      </c>
      <c r="D116" s="15">
        <v>0</v>
      </c>
      <c r="E116" s="15">
        <v>3557804</v>
      </c>
      <c r="F116" s="15" t="s">
        <v>3</v>
      </c>
      <c r="G116" s="15">
        <v>70049</v>
      </c>
      <c r="H116" s="15" t="s">
        <v>3</v>
      </c>
      <c r="I116" s="15">
        <v>1385</v>
      </c>
      <c r="J116" s="15" t="s">
        <v>3</v>
      </c>
      <c r="K116" s="15" t="s">
        <v>3</v>
      </c>
      <c r="L116" s="15" t="s">
        <v>3</v>
      </c>
      <c r="M116" s="15" t="s">
        <v>3</v>
      </c>
      <c r="N116" s="15" t="s">
        <v>3</v>
      </c>
      <c r="O116" s="15">
        <v>3629238</v>
      </c>
      <c r="P116" s="15" t="s">
        <v>3</v>
      </c>
      <c r="Q116" s="15" t="s">
        <v>3</v>
      </c>
      <c r="R116" s="15" t="s">
        <v>82</v>
      </c>
    </row>
    <row r="117" spans="1:18" ht="15.75" customHeight="1" x14ac:dyDescent="0.25">
      <c r="A117" s="15" t="s">
        <v>18</v>
      </c>
      <c r="B117" s="15" t="s">
        <v>19</v>
      </c>
      <c r="C117" s="15">
        <v>1981</v>
      </c>
      <c r="D117" s="15">
        <v>1</v>
      </c>
      <c r="E117" s="15">
        <f>3557804+30323</f>
        <v>3588127</v>
      </c>
      <c r="F117" s="15" t="s">
        <v>3</v>
      </c>
      <c r="G117" s="15">
        <f>70049+2187</f>
        <v>72236</v>
      </c>
      <c r="H117" s="15" t="s">
        <v>3</v>
      </c>
      <c r="I117" s="15">
        <f>1385+86</f>
        <v>1471</v>
      </c>
      <c r="J117" s="15" t="s">
        <v>3</v>
      </c>
      <c r="K117" s="15" t="s">
        <v>3</v>
      </c>
      <c r="L117" s="15" t="s">
        <v>3</v>
      </c>
      <c r="M117" s="15" t="s">
        <v>3</v>
      </c>
      <c r="N117" s="15" t="s">
        <v>3</v>
      </c>
      <c r="O117" s="15">
        <f>3629238+32596</f>
        <v>3661834</v>
      </c>
      <c r="P117" s="15" t="s">
        <v>3</v>
      </c>
      <c r="Q117" s="15" t="s">
        <v>3</v>
      </c>
      <c r="R117" s="15" t="s">
        <v>83</v>
      </c>
    </row>
    <row r="118" spans="1:18" ht="15.75" customHeight="1" x14ac:dyDescent="0.25">
      <c r="A118" s="15" t="s">
        <v>18</v>
      </c>
      <c r="B118" s="15" t="s">
        <v>19</v>
      </c>
      <c r="C118" s="15">
        <v>1982</v>
      </c>
      <c r="D118" s="15">
        <v>0</v>
      </c>
      <c r="E118" s="15">
        <v>3607422</v>
      </c>
      <c r="F118" s="15" t="s">
        <v>3</v>
      </c>
      <c r="G118" s="15">
        <v>71631</v>
      </c>
      <c r="H118" s="15" t="s">
        <v>3</v>
      </c>
      <c r="I118" s="15">
        <v>1484</v>
      </c>
      <c r="J118" s="15" t="s">
        <v>3</v>
      </c>
      <c r="K118" s="15" t="s">
        <v>3</v>
      </c>
      <c r="L118" s="15" t="s">
        <v>3</v>
      </c>
      <c r="M118" s="15" t="s">
        <v>3</v>
      </c>
      <c r="N118" s="15" t="s">
        <v>3</v>
      </c>
      <c r="O118" s="15">
        <v>3680537</v>
      </c>
      <c r="P118" s="15" t="s">
        <v>3</v>
      </c>
      <c r="Q118" s="15" t="s">
        <v>3</v>
      </c>
      <c r="R118" s="15" t="s">
        <v>82</v>
      </c>
    </row>
    <row r="119" spans="1:18" ht="15.75" customHeight="1" x14ac:dyDescent="0.25">
      <c r="A119" s="15" t="s">
        <v>18</v>
      </c>
      <c r="B119" s="15" t="s">
        <v>19</v>
      </c>
      <c r="C119" s="15">
        <v>1982</v>
      </c>
      <c r="D119" s="15">
        <v>1</v>
      </c>
      <c r="E119" s="15">
        <f>3607422+30239</f>
        <v>3637661</v>
      </c>
      <c r="F119" s="15" t="s">
        <v>3</v>
      </c>
      <c r="G119" s="15">
        <f>71631+2354</f>
        <v>73985</v>
      </c>
      <c r="H119" s="15" t="s">
        <v>3</v>
      </c>
      <c r="I119" s="15">
        <f>1484+101</f>
        <v>1585</v>
      </c>
      <c r="J119" s="15" t="s">
        <v>3</v>
      </c>
      <c r="K119" s="15" t="s">
        <v>3</v>
      </c>
      <c r="L119" s="15" t="s">
        <v>3</v>
      </c>
      <c r="M119" s="15" t="s">
        <v>3</v>
      </c>
      <c r="N119" s="15" t="s">
        <v>3</v>
      </c>
      <c r="O119" s="15">
        <f>3680537+32694</f>
        <v>3713231</v>
      </c>
      <c r="P119" s="15" t="s">
        <v>3</v>
      </c>
      <c r="Q119" s="15" t="s">
        <v>3</v>
      </c>
      <c r="R119" s="15" t="s">
        <v>83</v>
      </c>
    </row>
    <row r="120" spans="1:18" ht="15.75" customHeight="1" x14ac:dyDescent="0.25">
      <c r="A120" s="15" t="s">
        <v>18</v>
      </c>
      <c r="B120" s="15" t="s">
        <v>19</v>
      </c>
      <c r="C120" s="15">
        <v>1983</v>
      </c>
      <c r="D120" s="15">
        <v>0</v>
      </c>
      <c r="E120" s="15">
        <v>3565071</v>
      </c>
      <c r="F120" s="15" t="s">
        <v>3</v>
      </c>
      <c r="G120" s="15">
        <v>72287</v>
      </c>
      <c r="H120" s="15" t="s">
        <v>3</v>
      </c>
      <c r="I120" s="15">
        <v>1575</v>
      </c>
      <c r="J120" s="15" t="s">
        <v>3</v>
      </c>
      <c r="K120" s="15" t="s">
        <v>3</v>
      </c>
      <c r="L120" s="15" t="s">
        <v>3</v>
      </c>
      <c r="M120" s="15" t="s">
        <v>3</v>
      </c>
      <c r="N120" s="15" t="s">
        <v>3</v>
      </c>
      <c r="O120" s="15">
        <v>3638933</v>
      </c>
      <c r="P120" s="15" t="s">
        <v>3</v>
      </c>
      <c r="Q120" s="15" t="s">
        <v>3</v>
      </c>
      <c r="R120" s="15" t="s">
        <v>82</v>
      </c>
    </row>
    <row r="121" spans="1:18" ht="15.75" customHeight="1" x14ac:dyDescent="0.25">
      <c r="A121" s="15" t="s">
        <v>18</v>
      </c>
      <c r="B121" s="15" t="s">
        <v>19</v>
      </c>
      <c r="C121" s="15">
        <v>1983</v>
      </c>
      <c r="D121" s="15">
        <v>1</v>
      </c>
      <c r="E121" s="15">
        <f>3565071+28332</f>
        <v>3593403</v>
      </c>
      <c r="F121" s="15" t="s">
        <v>3</v>
      </c>
      <c r="G121" s="15">
        <f>72287+2341</f>
        <v>74628</v>
      </c>
      <c r="H121" s="15" t="s">
        <v>3</v>
      </c>
      <c r="I121" s="15">
        <f>1575+79</f>
        <v>1654</v>
      </c>
      <c r="J121" s="15" t="s">
        <v>3</v>
      </c>
      <c r="K121" s="15" t="s">
        <v>3</v>
      </c>
      <c r="L121" s="15" t="s">
        <v>3</v>
      </c>
      <c r="M121" s="15" t="s">
        <v>3</v>
      </c>
      <c r="N121" s="15" t="s">
        <v>3</v>
      </c>
      <c r="O121" s="15">
        <f>3638933+30752</f>
        <v>3669685</v>
      </c>
      <c r="P121" s="15" t="s">
        <v>3</v>
      </c>
      <c r="Q121" s="15" t="s">
        <v>3</v>
      </c>
      <c r="R121" s="15" t="s">
        <v>83</v>
      </c>
    </row>
    <row r="122" spans="1:18" ht="15.75" customHeight="1" x14ac:dyDescent="0.25">
      <c r="A122" s="15" t="s">
        <v>18</v>
      </c>
      <c r="B122" s="15" t="s">
        <v>19</v>
      </c>
      <c r="C122" s="15">
        <v>1984</v>
      </c>
      <c r="D122" s="15">
        <v>0</v>
      </c>
      <c r="E122" s="15">
        <v>3594539</v>
      </c>
      <c r="F122" s="15" t="s">
        <v>3</v>
      </c>
      <c r="G122" s="15">
        <v>72949</v>
      </c>
      <c r="H122" s="15" t="s">
        <v>3</v>
      </c>
      <c r="I122" s="15">
        <v>1653</v>
      </c>
      <c r="J122" s="15" t="s">
        <v>3</v>
      </c>
      <c r="K122" s="15" t="s">
        <v>3</v>
      </c>
      <c r="L122" s="15" t="s">
        <v>3</v>
      </c>
      <c r="M122" s="15" t="s">
        <v>3</v>
      </c>
      <c r="N122" s="15" t="s">
        <v>3</v>
      </c>
      <c r="O122" s="15">
        <v>3669141</v>
      </c>
      <c r="P122" s="15" t="s">
        <v>3</v>
      </c>
      <c r="Q122" s="15" t="s">
        <v>3</v>
      </c>
      <c r="R122" s="15" t="s">
        <v>82</v>
      </c>
    </row>
    <row r="123" spans="1:18" ht="15.75" customHeight="1" x14ac:dyDescent="0.25">
      <c r="A123" s="15" t="s">
        <v>18</v>
      </c>
      <c r="B123" s="15" t="s">
        <v>19</v>
      </c>
      <c r="C123" s="15">
        <v>1984</v>
      </c>
      <c r="D123" s="15">
        <v>1</v>
      </c>
      <c r="E123" s="15">
        <f>3594539+27919</f>
        <v>3622458</v>
      </c>
      <c r="F123" s="15" t="s">
        <v>3</v>
      </c>
      <c r="G123" s="15">
        <f>72949+2096</f>
        <v>75045</v>
      </c>
      <c r="H123" s="15" t="s">
        <v>3</v>
      </c>
      <c r="I123" s="15">
        <f>1653+84</f>
        <v>1737</v>
      </c>
      <c r="J123" s="15" t="s">
        <v>3</v>
      </c>
      <c r="K123" s="15" t="s">
        <v>3</v>
      </c>
      <c r="L123" s="15" t="s">
        <v>3</v>
      </c>
      <c r="M123" s="15" t="s">
        <v>3</v>
      </c>
      <c r="N123" s="15" t="s">
        <v>3</v>
      </c>
      <c r="O123" s="15">
        <f>3669141+30099</f>
        <v>3699240</v>
      </c>
      <c r="P123" s="15" t="s">
        <v>3</v>
      </c>
      <c r="Q123" s="15" t="s">
        <v>3</v>
      </c>
      <c r="R123" s="15" t="s">
        <v>83</v>
      </c>
    </row>
    <row r="124" spans="1:18" ht="15.75" customHeight="1" x14ac:dyDescent="0.25">
      <c r="A124" s="15" t="s">
        <v>18</v>
      </c>
      <c r="B124" s="15" t="s">
        <v>19</v>
      </c>
      <c r="C124" s="15">
        <v>1985</v>
      </c>
      <c r="D124" s="15">
        <v>0</v>
      </c>
      <c r="E124" s="15">
        <v>3681534</v>
      </c>
      <c r="F124" s="15" t="s">
        <v>3</v>
      </c>
      <c r="G124" s="15">
        <v>77102</v>
      </c>
      <c r="H124" s="15" t="s">
        <v>3</v>
      </c>
      <c r="I124" s="15">
        <v>1925</v>
      </c>
      <c r="J124" s="15" t="s">
        <v>3</v>
      </c>
      <c r="K124" s="15" t="s">
        <v>3</v>
      </c>
      <c r="L124" s="15" t="s">
        <v>3</v>
      </c>
      <c r="M124" s="15" t="s">
        <v>3</v>
      </c>
      <c r="N124" s="15" t="s">
        <v>3</v>
      </c>
      <c r="O124" s="15">
        <v>3760561</v>
      </c>
      <c r="P124" s="15" t="s">
        <v>3</v>
      </c>
      <c r="Q124" s="15" t="s">
        <v>3</v>
      </c>
      <c r="R124" s="15" t="s">
        <v>85</v>
      </c>
    </row>
    <row r="125" spans="1:18" ht="15.75" customHeight="1" x14ac:dyDescent="0.25">
      <c r="A125" s="15" t="s">
        <v>18</v>
      </c>
      <c r="B125" s="15" t="s">
        <v>19</v>
      </c>
      <c r="C125" s="15">
        <v>1985</v>
      </c>
      <c r="D125" s="15">
        <v>1</v>
      </c>
      <c r="E125" s="15">
        <f>3681534+27412</f>
        <v>3708946</v>
      </c>
      <c r="F125" s="15" t="s">
        <v>3</v>
      </c>
      <c r="G125" s="15">
        <f>77102+2158</f>
        <v>79260</v>
      </c>
      <c r="H125" s="15" t="s">
        <v>3</v>
      </c>
      <c r="I125" s="15">
        <f>1925+91</f>
        <v>2016</v>
      </c>
      <c r="J125" s="15" t="s">
        <v>3</v>
      </c>
      <c r="K125" s="15" t="s">
        <v>3</v>
      </c>
      <c r="L125" s="15" t="s">
        <v>3</v>
      </c>
      <c r="M125" s="15" t="s">
        <v>3</v>
      </c>
      <c r="N125" s="15" t="s">
        <v>3</v>
      </c>
      <c r="O125" s="15">
        <f>3760561+29661</f>
        <v>3790222</v>
      </c>
      <c r="P125" s="15" t="s">
        <v>3</v>
      </c>
      <c r="Q125" s="15" t="s">
        <v>3</v>
      </c>
      <c r="R125" s="15" t="s">
        <v>84</v>
      </c>
    </row>
    <row r="126" spans="1:18" ht="15.75" customHeight="1" x14ac:dyDescent="0.25">
      <c r="A126" s="15" t="s">
        <v>18</v>
      </c>
      <c r="B126" s="15" t="s">
        <v>19</v>
      </c>
      <c r="C126" s="15">
        <v>1986</v>
      </c>
      <c r="D126" s="15">
        <v>0</v>
      </c>
      <c r="E126" s="15">
        <v>3675248</v>
      </c>
      <c r="F126" s="15" t="s">
        <v>3</v>
      </c>
      <c r="G126" s="15">
        <v>79485</v>
      </c>
      <c r="H126" s="15" t="s">
        <v>3</v>
      </c>
      <c r="I126" s="15">
        <v>1814</v>
      </c>
      <c r="J126" s="15" t="s">
        <v>3</v>
      </c>
      <c r="K126" s="15" t="s">
        <v>3</v>
      </c>
      <c r="L126" s="15" t="s">
        <v>3</v>
      </c>
      <c r="M126" s="15" t="s">
        <v>3</v>
      </c>
      <c r="N126" s="15" t="s">
        <v>3</v>
      </c>
      <c r="O126" s="15">
        <v>3756547</v>
      </c>
      <c r="P126" s="15" t="s">
        <v>3</v>
      </c>
      <c r="Q126" s="15" t="s">
        <v>3</v>
      </c>
      <c r="R126" s="15" t="s">
        <v>85</v>
      </c>
    </row>
    <row r="127" spans="1:18" ht="15.75" customHeight="1" x14ac:dyDescent="0.25">
      <c r="A127" s="15" t="s">
        <v>18</v>
      </c>
      <c r="B127" s="15" t="s">
        <v>19</v>
      </c>
      <c r="C127" s="15">
        <v>1986</v>
      </c>
      <c r="D127" s="15">
        <v>1</v>
      </c>
      <c r="E127" s="15">
        <f>3675248+26816</f>
        <v>3702064</v>
      </c>
      <c r="F127" s="15" t="s">
        <v>3</v>
      </c>
      <c r="G127" s="15">
        <f>79485+2095</f>
        <v>81580</v>
      </c>
      <c r="H127" s="15" t="s">
        <v>3</v>
      </c>
      <c r="I127" s="15">
        <f>1814+61</f>
        <v>1875</v>
      </c>
      <c r="J127" s="15" t="s">
        <v>3</v>
      </c>
      <c r="K127" s="15" t="s">
        <v>3</v>
      </c>
      <c r="L127" s="15" t="s">
        <v>3</v>
      </c>
      <c r="M127" s="15" t="s">
        <v>3</v>
      </c>
      <c r="N127" s="15" t="s">
        <v>3</v>
      </c>
      <c r="O127" s="15">
        <f>3756547+28972</f>
        <v>3785519</v>
      </c>
      <c r="P127" s="15" t="s">
        <v>3</v>
      </c>
      <c r="Q127" s="15" t="s">
        <v>3</v>
      </c>
      <c r="R127" s="15" t="s">
        <v>84</v>
      </c>
    </row>
    <row r="128" spans="1:18" ht="15.75" customHeight="1" x14ac:dyDescent="0.25">
      <c r="A128" s="15" t="s">
        <v>18</v>
      </c>
      <c r="B128" s="15" t="s">
        <v>19</v>
      </c>
      <c r="C128" s="15">
        <v>1987</v>
      </c>
      <c r="D128" s="15">
        <v>0</v>
      </c>
      <c r="E128" s="15">
        <v>3725477</v>
      </c>
      <c r="F128" s="15" t="s">
        <v>3</v>
      </c>
      <c r="G128" s="15">
        <v>81778</v>
      </c>
      <c r="H128" s="15" t="s">
        <v>3</v>
      </c>
      <c r="I128" s="15">
        <v>2139</v>
      </c>
      <c r="J128" s="15" t="s">
        <v>3</v>
      </c>
      <c r="K128" s="15" t="s">
        <v>3</v>
      </c>
      <c r="L128" s="15" t="s">
        <v>3</v>
      </c>
      <c r="M128" s="15" t="s">
        <v>3</v>
      </c>
      <c r="N128" s="15" t="s">
        <v>3</v>
      </c>
      <c r="O128" s="15">
        <v>3809394</v>
      </c>
      <c r="P128" s="15" t="s">
        <v>3</v>
      </c>
      <c r="Q128" s="15" t="s">
        <v>3</v>
      </c>
      <c r="R128" s="15" t="s">
        <v>85</v>
      </c>
    </row>
    <row r="129" spans="1:18" ht="15.75" customHeight="1" x14ac:dyDescent="0.25">
      <c r="A129" s="15" t="s">
        <v>18</v>
      </c>
      <c r="B129" s="15" t="s">
        <v>19</v>
      </c>
      <c r="C129" s="15">
        <v>1987</v>
      </c>
      <c r="D129" s="15">
        <v>1</v>
      </c>
      <c r="E129" s="15">
        <f>3725477+27135</f>
        <v>3752612</v>
      </c>
      <c r="F129" s="15" t="s">
        <v>3</v>
      </c>
      <c r="G129" s="15">
        <f>81778+2121</f>
        <v>83899</v>
      </c>
      <c r="H129" s="15" t="s">
        <v>3</v>
      </c>
      <c r="I129" s="15">
        <f>2139+93</f>
        <v>2232</v>
      </c>
      <c r="J129" s="15" t="s">
        <v>3</v>
      </c>
      <c r="K129" s="15" t="s">
        <v>3</v>
      </c>
      <c r="L129" s="15" t="s">
        <v>3</v>
      </c>
      <c r="M129" s="15" t="s">
        <v>3</v>
      </c>
      <c r="N129" s="15" t="s">
        <v>3</v>
      </c>
      <c r="O129" s="15">
        <f>3809394+29349</f>
        <v>3838743</v>
      </c>
      <c r="P129" s="15" t="s">
        <v>3</v>
      </c>
      <c r="Q129" s="15" t="s">
        <v>3</v>
      </c>
      <c r="R129" s="15" t="s">
        <v>84</v>
      </c>
    </row>
    <row r="130" spans="1:18" ht="15.75" customHeight="1" x14ac:dyDescent="0.25">
      <c r="A130" s="15" t="s">
        <v>18</v>
      </c>
      <c r="B130" s="15" t="s">
        <v>19</v>
      </c>
      <c r="C130" s="15">
        <v>1988</v>
      </c>
      <c r="D130" s="15">
        <v>0</v>
      </c>
      <c r="E130" s="15">
        <v>3821810</v>
      </c>
      <c r="F130" s="15" t="s">
        <v>3</v>
      </c>
      <c r="G130" s="15">
        <v>85315</v>
      </c>
      <c r="H130" s="15" t="s">
        <v>3</v>
      </c>
      <c r="I130" s="15">
        <v>2385</v>
      </c>
      <c r="J130" s="15" t="s">
        <v>3</v>
      </c>
      <c r="K130" s="15" t="s">
        <v>3</v>
      </c>
      <c r="L130" s="15" t="s">
        <v>3</v>
      </c>
      <c r="M130" s="15" t="s">
        <v>3</v>
      </c>
      <c r="N130" s="15" t="s">
        <v>3</v>
      </c>
      <c r="O130" s="15">
        <v>3909510</v>
      </c>
      <c r="P130" s="15" t="s">
        <v>3</v>
      </c>
      <c r="Q130" s="15" t="s">
        <v>3</v>
      </c>
      <c r="R130" s="15" t="s">
        <v>85</v>
      </c>
    </row>
    <row r="131" spans="1:18" ht="15.75" customHeight="1" x14ac:dyDescent="0.25">
      <c r="A131" s="15" t="s">
        <v>18</v>
      </c>
      <c r="B131" s="15" t="s">
        <v>19</v>
      </c>
      <c r="C131" s="15">
        <v>1988</v>
      </c>
      <c r="D131" s="15">
        <v>1</v>
      </c>
      <c r="E131" s="15">
        <f>3821810+27145</f>
        <v>3848955</v>
      </c>
      <c r="F131" s="15" t="s">
        <v>3</v>
      </c>
      <c r="G131" s="15">
        <f>85315+2209</f>
        <v>87524</v>
      </c>
      <c r="H131" s="15" t="s">
        <v>3</v>
      </c>
      <c r="I131" s="15">
        <f>2385+88</f>
        <v>2473</v>
      </c>
      <c r="J131" s="15" t="s">
        <v>3</v>
      </c>
      <c r="K131" s="15" t="s">
        <v>3</v>
      </c>
      <c r="L131" s="15" t="s">
        <v>3</v>
      </c>
      <c r="M131" s="15" t="s">
        <v>3</v>
      </c>
      <c r="N131" s="15" t="s">
        <v>3</v>
      </c>
      <c r="O131" s="15">
        <f>3909510+29442</f>
        <v>3938952</v>
      </c>
      <c r="P131" s="15" t="s">
        <v>3</v>
      </c>
      <c r="Q131" s="15" t="s">
        <v>3</v>
      </c>
      <c r="R131" s="15" t="s">
        <v>84</v>
      </c>
    </row>
    <row r="132" spans="1:18" ht="15.75" customHeight="1" x14ac:dyDescent="0.25">
      <c r="A132" s="15" t="s">
        <v>18</v>
      </c>
      <c r="B132" s="15" t="s">
        <v>19</v>
      </c>
      <c r="C132" s="15">
        <v>1989</v>
      </c>
      <c r="D132" s="15">
        <v>0</v>
      </c>
      <c r="E132" s="15">
        <v>3948042</v>
      </c>
      <c r="F132" s="15" t="s">
        <v>3</v>
      </c>
      <c r="G132" s="15">
        <v>90118</v>
      </c>
      <c r="H132" s="15" t="s">
        <v>3</v>
      </c>
      <c r="I132" s="15">
        <v>2529</v>
      </c>
      <c r="J132" s="15" t="s">
        <v>3</v>
      </c>
      <c r="K132" s="15">
        <v>269</v>
      </c>
      <c r="L132" s="15" t="s">
        <v>3</v>
      </c>
      <c r="M132" s="15" t="s">
        <v>3</v>
      </c>
      <c r="N132" s="15" t="s">
        <v>3</v>
      </c>
      <c r="O132" s="15">
        <v>4040958</v>
      </c>
      <c r="P132" s="15" t="s">
        <v>3</v>
      </c>
      <c r="Q132" s="15" t="s">
        <v>3</v>
      </c>
      <c r="R132" s="15">
        <v>7</v>
      </c>
    </row>
    <row r="133" spans="1:18" ht="15.75" customHeight="1" x14ac:dyDescent="0.25">
      <c r="A133" s="15" t="s">
        <v>18</v>
      </c>
      <c r="B133" s="15" t="s">
        <v>19</v>
      </c>
      <c r="C133" s="15">
        <v>1989</v>
      </c>
      <c r="D133" s="15">
        <v>1</v>
      </c>
      <c r="E133" s="15">
        <f>3948042-71057+27549</f>
        <v>3904534</v>
      </c>
      <c r="F133" s="15" t="s">
        <v>3</v>
      </c>
      <c r="G133" s="15">
        <f>90118-1658+2220</f>
        <v>90680</v>
      </c>
      <c r="H133" s="15" t="s">
        <v>3</v>
      </c>
      <c r="I133" s="15">
        <f>2529+269+87-37</f>
        <v>2848</v>
      </c>
      <c r="J133" s="15" t="s">
        <v>3</v>
      </c>
      <c r="K133" s="15" t="s">
        <v>3</v>
      </c>
      <c r="L133" s="15" t="s">
        <v>3</v>
      </c>
      <c r="M133" s="15" t="s">
        <v>3</v>
      </c>
      <c r="N133" s="15" t="s">
        <v>3</v>
      </c>
      <c r="O133" s="15">
        <f>4040958-72752+29856</f>
        <v>3998062</v>
      </c>
      <c r="P133" s="15" t="s">
        <v>3</v>
      </c>
      <c r="Q133" s="15" t="s">
        <v>3</v>
      </c>
      <c r="R133" s="15" t="s">
        <v>84</v>
      </c>
    </row>
    <row r="134" spans="1:18" ht="15.75" customHeight="1" x14ac:dyDescent="0.25">
      <c r="A134" s="15" t="s">
        <v>18</v>
      </c>
      <c r="B134" s="15" t="s">
        <v>19</v>
      </c>
      <c r="C134" s="15">
        <v>1990</v>
      </c>
      <c r="D134" s="15">
        <v>0</v>
      </c>
      <c r="E134" s="15">
        <v>4061319</v>
      </c>
      <c r="F134" s="15" t="s">
        <v>3</v>
      </c>
      <c r="G134" s="15">
        <v>93865</v>
      </c>
      <c r="H134" s="15" t="s">
        <v>3</v>
      </c>
      <c r="I134" s="15">
        <v>2830</v>
      </c>
      <c r="J134" s="15" t="s">
        <v>3</v>
      </c>
      <c r="K134" s="15">
        <v>198</v>
      </c>
      <c r="L134" s="15" t="s">
        <v>3</v>
      </c>
      <c r="M134" s="15" t="s">
        <v>3</v>
      </c>
      <c r="N134" s="15" t="s">
        <v>3</v>
      </c>
      <c r="O134" s="15">
        <v>4158212</v>
      </c>
      <c r="P134" s="15" t="s">
        <v>3</v>
      </c>
      <c r="Q134" s="15" t="s">
        <v>3</v>
      </c>
      <c r="R134" s="15">
        <v>7</v>
      </c>
    </row>
    <row r="135" spans="1:18" ht="15.75" customHeight="1" x14ac:dyDescent="0.25">
      <c r="A135" s="15" t="s">
        <v>18</v>
      </c>
      <c r="B135" s="15" t="s">
        <v>19</v>
      </c>
      <c r="C135" s="15">
        <v>1990</v>
      </c>
      <c r="D135" s="15">
        <v>1</v>
      </c>
      <c r="E135" s="15">
        <f>4061319-70577+28466</f>
        <v>4019208</v>
      </c>
      <c r="F135" s="15" t="s">
        <v>3</v>
      </c>
      <c r="G135" s="15">
        <f>93865-1573+2197</f>
        <v>94489</v>
      </c>
      <c r="H135" s="15" t="s">
        <v>3</v>
      </c>
      <c r="I135" s="15">
        <f>2830+198-42+117</f>
        <v>3103</v>
      </c>
      <c r="J135" s="15" t="s">
        <v>3</v>
      </c>
      <c r="K135" s="15" t="s">
        <v>3</v>
      </c>
      <c r="L135" s="15" t="s">
        <v>3</v>
      </c>
      <c r="M135" s="15" t="s">
        <v>3</v>
      </c>
      <c r="N135" s="15" t="s">
        <v>3</v>
      </c>
      <c r="O135" s="15">
        <f>4158212-72192+30780</f>
        <v>4116800</v>
      </c>
      <c r="P135" s="15" t="s">
        <v>3</v>
      </c>
      <c r="Q135" s="15" t="s">
        <v>3</v>
      </c>
      <c r="R135" s="15" t="s">
        <v>84</v>
      </c>
    </row>
    <row r="136" spans="1:18" ht="15.75" customHeight="1" x14ac:dyDescent="0.25">
      <c r="A136" s="15" t="s">
        <v>18</v>
      </c>
      <c r="B136" s="15" t="s">
        <v>19</v>
      </c>
      <c r="C136" s="15">
        <v>1991</v>
      </c>
      <c r="D136" s="15">
        <v>0</v>
      </c>
      <c r="E136" s="15">
        <v>4012782</v>
      </c>
      <c r="F136" s="15" t="s">
        <v>3</v>
      </c>
      <c r="G136" s="15">
        <v>94779</v>
      </c>
      <c r="H136" s="15" t="s">
        <v>3</v>
      </c>
      <c r="I136" s="15">
        <v>3121</v>
      </c>
      <c r="J136" s="15" t="s">
        <v>3</v>
      </c>
      <c r="K136" s="15">
        <v>225</v>
      </c>
      <c r="L136" s="15" t="s">
        <v>3</v>
      </c>
      <c r="M136" s="15" t="s">
        <v>3</v>
      </c>
      <c r="N136" s="15" t="s">
        <v>3</v>
      </c>
      <c r="O136" s="15">
        <v>4110907</v>
      </c>
      <c r="P136" s="15" t="s">
        <v>3</v>
      </c>
      <c r="Q136" s="15" t="s">
        <v>3</v>
      </c>
      <c r="R136" s="15">
        <v>7</v>
      </c>
    </row>
    <row r="137" spans="1:18" ht="15.75" customHeight="1" x14ac:dyDescent="0.25">
      <c r="A137" s="15" t="s">
        <v>18</v>
      </c>
      <c r="B137" s="15" t="s">
        <v>19</v>
      </c>
      <c r="C137" s="15">
        <v>1991</v>
      </c>
      <c r="D137" s="15">
        <v>1</v>
      </c>
      <c r="E137" s="15">
        <f>4012782-70462+27274</f>
        <v>3969594</v>
      </c>
      <c r="F137" s="15" t="s">
        <v>3</v>
      </c>
      <c r="G137" s="15">
        <f>94779-1672+2182</f>
        <v>95289</v>
      </c>
      <c r="H137" s="15" t="s">
        <v>3</v>
      </c>
      <c r="I137" s="15">
        <f>3121+225-59+132</f>
        <v>3419</v>
      </c>
      <c r="J137" s="15" t="s">
        <v>3</v>
      </c>
      <c r="K137" s="15" t="s">
        <v>3</v>
      </c>
      <c r="L137" s="15" t="s">
        <v>3</v>
      </c>
      <c r="M137" s="15" t="s">
        <v>3</v>
      </c>
      <c r="N137" s="15" t="s">
        <v>3</v>
      </c>
      <c r="O137" s="15">
        <f>4110907-72193+29588</f>
        <v>4068302</v>
      </c>
      <c r="P137" s="15" t="s">
        <v>3</v>
      </c>
      <c r="Q137" s="15" t="s">
        <v>3</v>
      </c>
      <c r="R137" s="15" t="s">
        <v>84</v>
      </c>
    </row>
    <row r="138" spans="1:18" ht="15.75" customHeight="1" x14ac:dyDescent="0.25">
      <c r="A138" s="15" t="s">
        <v>18</v>
      </c>
      <c r="B138" s="15" t="s">
        <v>19</v>
      </c>
      <c r="C138" s="15">
        <v>1992</v>
      </c>
      <c r="D138" s="15">
        <v>0</v>
      </c>
      <c r="E138" s="15">
        <v>3965759</v>
      </c>
      <c r="F138" s="15" t="s">
        <v>3</v>
      </c>
      <c r="G138" s="15">
        <v>95372</v>
      </c>
      <c r="H138" s="15" t="s">
        <v>3</v>
      </c>
      <c r="I138" s="15">
        <v>3547</v>
      </c>
      <c r="J138" s="15" t="s">
        <v>3</v>
      </c>
      <c r="K138" s="15">
        <v>336</v>
      </c>
      <c r="L138" s="15" t="s">
        <v>3</v>
      </c>
      <c r="M138" s="15" t="s">
        <v>3</v>
      </c>
      <c r="N138" s="15" t="s">
        <v>3</v>
      </c>
      <c r="O138" s="15">
        <v>4065014</v>
      </c>
      <c r="P138" s="15" t="s">
        <v>3</v>
      </c>
      <c r="Q138" s="15" t="s">
        <v>3</v>
      </c>
      <c r="R138" s="15">
        <v>7</v>
      </c>
    </row>
    <row r="139" spans="1:18" ht="15.75" customHeight="1" x14ac:dyDescent="0.25">
      <c r="A139" s="15" t="s">
        <v>18</v>
      </c>
      <c r="B139" s="15" t="s">
        <v>19</v>
      </c>
      <c r="C139" s="15">
        <v>1992</v>
      </c>
      <c r="D139" s="15">
        <v>1</v>
      </c>
      <c r="E139" s="15">
        <f>3965759-68881+27347</f>
        <v>3924225</v>
      </c>
      <c r="F139" s="15" t="s">
        <v>3</v>
      </c>
      <c r="G139" s="15">
        <f>95372-1761+2236</f>
        <v>95847</v>
      </c>
      <c r="H139" s="15" t="s">
        <v>3</v>
      </c>
      <c r="I139" s="15">
        <f>3547+336-65+125</f>
        <v>3943</v>
      </c>
      <c r="J139" s="15" t="s">
        <v>3</v>
      </c>
      <c r="K139" s="15" t="s">
        <v>3</v>
      </c>
      <c r="L139" s="15" t="s">
        <v>3</v>
      </c>
      <c r="M139" s="15" t="s">
        <v>3</v>
      </c>
      <c r="N139" s="15" t="s">
        <v>3</v>
      </c>
      <c r="O139" s="15">
        <f>4065014-70707+29708</f>
        <v>4024015</v>
      </c>
      <c r="P139" s="15" t="s">
        <v>3</v>
      </c>
      <c r="Q139" s="15" t="s">
        <v>3</v>
      </c>
      <c r="R139" s="15" t="s">
        <v>84</v>
      </c>
    </row>
    <row r="140" spans="1:18" ht="15.75" customHeight="1" x14ac:dyDescent="0.25">
      <c r="A140" s="15" t="s">
        <v>18</v>
      </c>
      <c r="B140" s="15" t="s">
        <v>19</v>
      </c>
      <c r="C140" s="15">
        <v>1993</v>
      </c>
      <c r="D140" s="15">
        <v>0</v>
      </c>
      <c r="E140" s="15">
        <v>3899627</v>
      </c>
      <c r="F140" s="15" t="s">
        <v>3</v>
      </c>
      <c r="G140" s="15">
        <v>96445</v>
      </c>
      <c r="H140" s="15" t="s">
        <v>3</v>
      </c>
      <c r="I140" s="15">
        <v>3834</v>
      </c>
      <c r="J140" s="15" t="s">
        <v>3</v>
      </c>
      <c r="K140" s="15">
        <v>334</v>
      </c>
      <c r="L140" s="15" t="s">
        <v>3</v>
      </c>
      <c r="M140" s="15" t="s">
        <v>3</v>
      </c>
      <c r="N140" s="15" t="s">
        <v>3</v>
      </c>
      <c r="O140" s="15">
        <v>4000240</v>
      </c>
      <c r="P140" s="15" t="s">
        <v>3</v>
      </c>
      <c r="Q140" s="15" t="s">
        <v>3</v>
      </c>
      <c r="R140" s="15">
        <v>7</v>
      </c>
    </row>
    <row r="141" spans="1:18" ht="15.75" customHeight="1" x14ac:dyDescent="0.25">
      <c r="A141" s="15" t="s">
        <v>18</v>
      </c>
      <c r="B141" s="15" t="s">
        <v>19</v>
      </c>
      <c r="C141" s="15">
        <v>1993</v>
      </c>
      <c r="D141" s="15">
        <v>1</v>
      </c>
      <c r="E141" s="15">
        <f>3899627-67621+26052</f>
        <v>3858058</v>
      </c>
      <c r="F141" s="15" t="s">
        <v>3</v>
      </c>
      <c r="G141" s="15">
        <f>96445-1710+2004</f>
        <v>96739</v>
      </c>
      <c r="H141" s="15" t="s">
        <v>3</v>
      </c>
      <c r="I141" s="15">
        <f>3834+334-71+152</f>
        <v>4249</v>
      </c>
      <c r="J141" s="15" t="s">
        <v>3</v>
      </c>
      <c r="K141" s="15" t="s">
        <v>3</v>
      </c>
      <c r="L141" s="15" t="s">
        <v>3</v>
      </c>
      <c r="M141" s="15" t="s">
        <v>3</v>
      </c>
      <c r="N141" s="15" t="s">
        <v>3</v>
      </c>
      <c r="O141" s="15">
        <f>4000240-69402+28208</f>
        <v>3959046</v>
      </c>
      <c r="P141" s="15" t="s">
        <v>3</v>
      </c>
      <c r="Q141" s="15" t="s">
        <v>3</v>
      </c>
      <c r="R141" s="15" t="s">
        <v>84</v>
      </c>
    </row>
    <row r="142" spans="1:18" ht="15.75" customHeight="1" x14ac:dyDescent="0.25">
      <c r="A142" s="15" t="s">
        <v>18</v>
      </c>
      <c r="B142" s="15" t="s">
        <v>19</v>
      </c>
      <c r="C142" s="15">
        <v>1994</v>
      </c>
      <c r="D142" s="15">
        <v>0</v>
      </c>
      <c r="E142" s="15">
        <v>3851109</v>
      </c>
      <c r="F142" s="15" t="s">
        <v>3</v>
      </c>
      <c r="G142" s="15">
        <v>97064</v>
      </c>
      <c r="H142" s="15" t="s">
        <v>3</v>
      </c>
      <c r="I142" s="15">
        <v>4233</v>
      </c>
      <c r="J142" s="15" t="s">
        <v>3</v>
      </c>
      <c r="K142" s="15">
        <v>361</v>
      </c>
      <c r="L142" s="15" t="s">
        <v>3</v>
      </c>
      <c r="M142" s="15" t="s">
        <v>3</v>
      </c>
      <c r="N142" s="15" t="s">
        <v>3</v>
      </c>
      <c r="O142" s="15">
        <v>3952767</v>
      </c>
      <c r="P142" s="15" t="s">
        <v>3</v>
      </c>
      <c r="Q142" s="15" t="s">
        <v>3</v>
      </c>
      <c r="R142" s="15">
        <v>7</v>
      </c>
    </row>
    <row r="143" spans="1:18" ht="15.65" customHeight="1" x14ac:dyDescent="0.25">
      <c r="A143" s="15" t="s">
        <v>18</v>
      </c>
      <c r="B143" s="15" t="s">
        <v>19</v>
      </c>
      <c r="C143" s="15">
        <v>1995</v>
      </c>
      <c r="D143" s="15">
        <v>0</v>
      </c>
      <c r="E143" s="15">
        <v>3797880</v>
      </c>
      <c r="F143" s="15" t="s">
        <v>3</v>
      </c>
      <c r="G143" s="15">
        <v>96736</v>
      </c>
      <c r="H143" s="15" t="s">
        <v>3</v>
      </c>
      <c r="I143" s="15">
        <v>4551</v>
      </c>
      <c r="J143" s="15" t="s">
        <v>3</v>
      </c>
      <c r="K143" s="15">
        <v>422</v>
      </c>
      <c r="L143" s="15" t="s">
        <v>3</v>
      </c>
      <c r="M143" s="15" t="s">
        <v>3</v>
      </c>
      <c r="N143" s="15" t="s">
        <v>3</v>
      </c>
      <c r="O143" s="15">
        <v>3899589</v>
      </c>
      <c r="P143" s="15" t="s">
        <v>3</v>
      </c>
      <c r="Q143" s="15" t="s">
        <v>3</v>
      </c>
      <c r="R143" s="15">
        <v>7</v>
      </c>
    </row>
    <row r="144" spans="1:18" ht="15.65" customHeight="1" x14ac:dyDescent="0.25">
      <c r="A144" s="15" t="s">
        <v>18</v>
      </c>
      <c r="B144" s="15" t="s">
        <v>19</v>
      </c>
      <c r="C144" s="15">
        <v>1996</v>
      </c>
      <c r="D144" s="15">
        <v>0</v>
      </c>
      <c r="E144" s="15">
        <v>3784805</v>
      </c>
      <c r="F144" s="15" t="s">
        <v>3</v>
      </c>
      <c r="G144" s="15">
        <v>100750</v>
      </c>
      <c r="H144" s="15" t="s">
        <v>3</v>
      </c>
      <c r="I144" s="15">
        <v>5298</v>
      </c>
      <c r="J144" s="15" t="s">
        <v>3</v>
      </c>
      <c r="K144" s="15">
        <v>641</v>
      </c>
      <c r="L144" s="15" t="s">
        <v>3</v>
      </c>
      <c r="M144" s="15" t="s">
        <v>3</v>
      </c>
      <c r="N144" s="15" t="s">
        <v>3</v>
      </c>
      <c r="O144" s="15">
        <v>3891494</v>
      </c>
      <c r="P144" s="15" t="s">
        <v>3</v>
      </c>
      <c r="Q144" s="15" t="s">
        <v>3</v>
      </c>
      <c r="R144" s="15">
        <v>7</v>
      </c>
    </row>
    <row r="145" spans="1:18" ht="15.65" customHeight="1" x14ac:dyDescent="0.25">
      <c r="A145" s="15" t="s">
        <v>18</v>
      </c>
      <c r="B145" s="15" t="s">
        <v>19</v>
      </c>
      <c r="C145" s="15">
        <v>1997</v>
      </c>
      <c r="D145" s="15">
        <v>0</v>
      </c>
      <c r="E145" s="15">
        <v>3770020</v>
      </c>
      <c r="F145" s="15" t="s">
        <v>3</v>
      </c>
      <c r="G145" s="15">
        <v>104137</v>
      </c>
      <c r="H145" s="15" t="s">
        <v>3</v>
      </c>
      <c r="I145" s="15">
        <v>6148</v>
      </c>
      <c r="J145" s="15" t="s">
        <v>3</v>
      </c>
      <c r="K145" s="15">
        <v>589</v>
      </c>
      <c r="L145" s="15" t="s">
        <v>3</v>
      </c>
      <c r="M145" s="15" t="s">
        <v>3</v>
      </c>
      <c r="N145" s="15" t="s">
        <v>3</v>
      </c>
      <c r="O145" s="15">
        <v>3880894</v>
      </c>
      <c r="P145" s="15" t="s">
        <v>3</v>
      </c>
      <c r="Q145" s="15" t="s">
        <v>3</v>
      </c>
      <c r="R145" s="15">
        <v>7</v>
      </c>
    </row>
    <row r="146" spans="1:18" ht="15.75" customHeight="1" x14ac:dyDescent="0.25">
      <c r="A146" s="15" t="s">
        <v>18</v>
      </c>
      <c r="B146" s="15" t="s">
        <v>19</v>
      </c>
      <c r="C146" s="15">
        <v>1998</v>
      </c>
      <c r="D146" s="15">
        <v>0</v>
      </c>
      <c r="E146" s="15">
        <v>3823258</v>
      </c>
      <c r="F146" s="15" t="s">
        <v>3</v>
      </c>
      <c r="G146" s="15">
        <v>110670</v>
      </c>
      <c r="H146" s="15" t="s">
        <v>3</v>
      </c>
      <c r="I146" s="15">
        <v>6919</v>
      </c>
      <c r="J146" s="15" t="s">
        <v>3</v>
      </c>
      <c r="K146" s="15">
        <v>706</v>
      </c>
      <c r="L146" s="15" t="s">
        <v>3</v>
      </c>
      <c r="M146" s="15" t="s">
        <v>3</v>
      </c>
      <c r="N146" s="15" t="s">
        <v>3</v>
      </c>
      <c r="O146" s="15">
        <v>3941553</v>
      </c>
      <c r="P146" s="15" t="s">
        <v>3</v>
      </c>
      <c r="Q146" s="15" t="s">
        <v>3</v>
      </c>
      <c r="R146" s="15">
        <v>7</v>
      </c>
    </row>
    <row r="147" spans="1:18" ht="15.75" customHeight="1" x14ac:dyDescent="0.25">
      <c r="A147" s="15" t="s">
        <v>18</v>
      </c>
      <c r="B147" s="15" t="s">
        <v>19</v>
      </c>
      <c r="C147" s="15">
        <v>1999</v>
      </c>
      <c r="D147" s="15">
        <v>0</v>
      </c>
      <c r="E147" s="15">
        <v>3837789</v>
      </c>
      <c r="F147" s="15" t="s">
        <v>3</v>
      </c>
      <c r="G147" s="15">
        <v>114307</v>
      </c>
      <c r="H147" s="15" t="s">
        <v>3</v>
      </c>
      <c r="I147" s="15">
        <v>6742</v>
      </c>
      <c r="J147" s="15" t="s">
        <v>3</v>
      </c>
      <c r="K147" s="15">
        <v>579</v>
      </c>
      <c r="L147" s="15" t="s">
        <v>3</v>
      </c>
      <c r="M147" s="15" t="s">
        <v>3</v>
      </c>
      <c r="N147" s="15" t="s">
        <v>3</v>
      </c>
      <c r="O147" s="15">
        <v>3959417</v>
      </c>
      <c r="P147" s="15" t="s">
        <v>3</v>
      </c>
      <c r="Q147" s="15" t="s">
        <v>3</v>
      </c>
      <c r="R147" s="15">
        <v>7</v>
      </c>
    </row>
    <row r="148" spans="1:18" ht="15.75" customHeight="1" x14ac:dyDescent="0.25">
      <c r="A148" s="15" t="s">
        <v>18</v>
      </c>
      <c r="B148" s="15" t="s">
        <v>19</v>
      </c>
      <c r="C148" s="15">
        <v>2000</v>
      </c>
      <c r="D148" s="15">
        <v>0</v>
      </c>
      <c r="E148" s="15">
        <v>3932573</v>
      </c>
      <c r="F148" s="15" t="s">
        <v>3</v>
      </c>
      <c r="G148" s="15">
        <v>118916</v>
      </c>
      <c r="H148" s="15" t="s">
        <v>3</v>
      </c>
      <c r="I148" s="15">
        <v>6742</v>
      </c>
      <c r="J148" s="15" t="s">
        <v>3</v>
      </c>
      <c r="K148" s="15">
        <v>583</v>
      </c>
      <c r="L148" s="15" t="s">
        <v>3</v>
      </c>
      <c r="M148" s="15" t="s">
        <v>3</v>
      </c>
      <c r="N148" s="15" t="s">
        <v>3</v>
      </c>
      <c r="O148" s="15">
        <v>4058814</v>
      </c>
      <c r="P148" s="15" t="s">
        <v>3</v>
      </c>
      <c r="Q148" s="15" t="s">
        <v>3</v>
      </c>
      <c r="R148" s="15">
        <v>7</v>
      </c>
    </row>
    <row r="149" spans="1:18" ht="15.75" customHeight="1" x14ac:dyDescent="0.25">
      <c r="A149" s="15" t="s">
        <v>18</v>
      </c>
      <c r="B149" s="15" t="s">
        <v>19</v>
      </c>
      <c r="C149" s="15">
        <v>2001</v>
      </c>
      <c r="D149" s="15">
        <v>0</v>
      </c>
      <c r="E149" s="15">
        <v>3897216</v>
      </c>
      <c r="F149" s="15" t="s">
        <v>3</v>
      </c>
      <c r="G149" s="15">
        <v>121246</v>
      </c>
      <c r="H149" s="15" t="s">
        <v>3</v>
      </c>
      <c r="I149" s="15">
        <v>6885</v>
      </c>
      <c r="J149" s="15" t="s">
        <v>3</v>
      </c>
      <c r="K149" s="15">
        <v>586</v>
      </c>
      <c r="L149" s="15" t="s">
        <v>3</v>
      </c>
      <c r="M149" s="15" t="s">
        <v>3</v>
      </c>
      <c r="N149" s="15" t="s">
        <v>3</v>
      </c>
      <c r="O149" s="15">
        <v>4025933</v>
      </c>
      <c r="P149" s="15" t="s">
        <v>3</v>
      </c>
      <c r="Q149" s="15" t="s">
        <v>3</v>
      </c>
      <c r="R149" s="15">
        <v>7</v>
      </c>
    </row>
    <row r="150" spans="1:18" ht="15.75" customHeight="1" x14ac:dyDescent="0.25">
      <c r="A150" s="15" t="s">
        <v>18</v>
      </c>
      <c r="B150" s="15" t="s">
        <v>19</v>
      </c>
      <c r="C150" s="15">
        <v>2002</v>
      </c>
      <c r="D150" s="15">
        <v>0</v>
      </c>
      <c r="E150" s="15">
        <v>3889191</v>
      </c>
      <c r="F150" s="15" t="s">
        <v>3</v>
      </c>
      <c r="G150" s="15">
        <v>125134</v>
      </c>
      <c r="H150" s="15" t="s">
        <v>3</v>
      </c>
      <c r="I150" s="15">
        <v>6898</v>
      </c>
      <c r="J150" s="15" t="s">
        <v>3</v>
      </c>
      <c r="K150" s="15">
        <v>503</v>
      </c>
      <c r="L150" s="15" t="s">
        <v>3</v>
      </c>
      <c r="M150" s="15" t="s">
        <v>3</v>
      </c>
      <c r="N150" s="15" t="s">
        <v>3</v>
      </c>
      <c r="O150" s="15">
        <v>4021726</v>
      </c>
      <c r="P150" s="15" t="s">
        <v>3</v>
      </c>
      <c r="Q150" s="15" t="s">
        <v>3</v>
      </c>
      <c r="R150" s="15">
        <v>7</v>
      </c>
    </row>
    <row r="151" spans="1:18" ht="15.75" customHeight="1" x14ac:dyDescent="0.25">
      <c r="A151" s="15" t="s">
        <v>18</v>
      </c>
      <c r="B151" s="15" t="s">
        <v>19</v>
      </c>
      <c r="C151" s="15">
        <v>2003</v>
      </c>
      <c r="D151" s="15">
        <v>0</v>
      </c>
      <c r="E151" s="15">
        <v>3953622</v>
      </c>
      <c r="F151" s="15" t="s">
        <v>3</v>
      </c>
      <c r="G151" s="15">
        <v>128665</v>
      </c>
      <c r="H151" s="15" t="s">
        <v>3</v>
      </c>
      <c r="I151" s="15">
        <v>7110</v>
      </c>
      <c r="J151" s="15" t="s">
        <v>3</v>
      </c>
      <c r="K151" s="15">
        <v>553</v>
      </c>
      <c r="L151" s="15" t="s">
        <v>3</v>
      </c>
      <c r="M151" s="15" t="s">
        <v>3</v>
      </c>
      <c r="N151" s="15" t="s">
        <v>3</v>
      </c>
      <c r="O151" s="15">
        <v>4089950</v>
      </c>
      <c r="P151" s="15" t="s">
        <v>3</v>
      </c>
      <c r="Q151" s="15" t="s">
        <v>3</v>
      </c>
      <c r="R151" s="15">
        <v>7</v>
      </c>
    </row>
    <row r="152" spans="1:18" ht="15.75" customHeight="1" x14ac:dyDescent="0.25">
      <c r="A152" s="15" t="s">
        <v>18</v>
      </c>
      <c r="B152" s="15" t="s">
        <v>19</v>
      </c>
      <c r="C152" s="15">
        <v>2003</v>
      </c>
      <c r="D152" s="15">
        <v>1</v>
      </c>
      <c r="E152" s="15">
        <f>ROUND(3953622+((23317/25653)*26004),0)</f>
        <v>3977258</v>
      </c>
      <c r="F152" s="15" t="s">
        <v>3</v>
      </c>
      <c r="G152" s="15">
        <f>ROUND(128665+((2161/25653)*26004),0)</f>
        <v>130856</v>
      </c>
      <c r="H152" s="15" t="s">
        <v>3</v>
      </c>
      <c r="I152" s="15">
        <f>ROUND(7110+553+((175/25653)*26004),0)</f>
        <v>7840</v>
      </c>
      <c r="J152" s="15" t="s">
        <v>3</v>
      </c>
      <c r="K152" s="15" t="s">
        <v>3</v>
      </c>
      <c r="L152" s="15" t="s">
        <v>3</v>
      </c>
      <c r="M152" s="15" t="s">
        <v>3</v>
      </c>
      <c r="N152" s="15" t="s">
        <v>3</v>
      </c>
      <c r="O152" s="15">
        <f>4089950+26004</f>
        <v>4115954</v>
      </c>
      <c r="P152" s="15" t="s">
        <v>3</v>
      </c>
      <c r="Q152" s="15" t="s">
        <v>3</v>
      </c>
      <c r="R152" s="15" t="s">
        <v>86</v>
      </c>
    </row>
    <row r="153" spans="1:18" ht="15.75" customHeight="1" x14ac:dyDescent="0.25">
      <c r="A153" s="15" t="s">
        <v>18</v>
      </c>
      <c r="B153" s="15" t="s">
        <v>20</v>
      </c>
      <c r="C153" s="15">
        <v>2004</v>
      </c>
      <c r="D153" s="15">
        <v>0</v>
      </c>
      <c r="E153" s="15">
        <v>3972558</v>
      </c>
      <c r="F153" s="15" t="s">
        <v>3</v>
      </c>
      <c r="G153" s="15">
        <v>132219</v>
      </c>
      <c r="H153" s="15" t="s">
        <v>3</v>
      </c>
      <c r="I153" s="15">
        <v>6750</v>
      </c>
      <c r="J153" s="15" t="s">
        <v>3</v>
      </c>
      <c r="K153" s="15">
        <v>525</v>
      </c>
      <c r="L153" s="15" t="s">
        <v>3</v>
      </c>
      <c r="M153" s="15" t="s">
        <v>3</v>
      </c>
      <c r="N153" s="15" t="s">
        <v>3</v>
      </c>
      <c r="O153" s="15">
        <v>4112052</v>
      </c>
      <c r="P153" s="15" t="s">
        <v>3</v>
      </c>
      <c r="Q153" s="15" t="s">
        <v>3</v>
      </c>
      <c r="R153" s="15">
        <v>7</v>
      </c>
    </row>
    <row r="154" spans="1:18" ht="15.75" customHeight="1" x14ac:dyDescent="0.25">
      <c r="A154" s="15" t="s">
        <v>18</v>
      </c>
      <c r="B154" s="15" t="s">
        <v>20</v>
      </c>
      <c r="C154" s="15">
        <v>2004</v>
      </c>
      <c r="D154" s="15">
        <v>1</v>
      </c>
      <c r="E154" s="15">
        <f>ROUND(3972558+((23388/25655)*26001),0)</f>
        <v>3996261</v>
      </c>
      <c r="F154" s="15" t="s">
        <v>3</v>
      </c>
      <c r="G154" s="15">
        <f>ROUND(132219+((2046/25655)*26001),0)</f>
        <v>134293</v>
      </c>
      <c r="H154" s="15" t="s">
        <v>3</v>
      </c>
      <c r="I154" s="15">
        <f>ROUND(6750+525+((221/25655)*26001),0)</f>
        <v>7499</v>
      </c>
      <c r="J154" s="15" t="s">
        <v>3</v>
      </c>
      <c r="K154" s="15" t="s">
        <v>3</v>
      </c>
      <c r="L154" s="15" t="s">
        <v>3</v>
      </c>
      <c r="M154" s="15" t="s">
        <v>3</v>
      </c>
      <c r="N154" s="15" t="s">
        <v>3</v>
      </c>
      <c r="O154" s="15">
        <f>4112052+26001</f>
        <v>4138053</v>
      </c>
      <c r="P154" s="15" t="s">
        <v>3</v>
      </c>
      <c r="Q154" s="15" t="s">
        <v>3</v>
      </c>
      <c r="R154" s="15" t="s">
        <v>86</v>
      </c>
    </row>
    <row r="155" spans="1:18" ht="15.75" customHeight="1" x14ac:dyDescent="0.25">
      <c r="A155" s="15" t="s">
        <v>18</v>
      </c>
      <c r="B155" s="15" t="s">
        <v>20</v>
      </c>
      <c r="C155" s="15">
        <v>2005</v>
      </c>
      <c r="D155" s="15">
        <v>0</v>
      </c>
      <c r="E155" s="15">
        <v>3998533</v>
      </c>
      <c r="F155" s="15" t="s">
        <v>3</v>
      </c>
      <c r="G155" s="15">
        <v>133122</v>
      </c>
      <c r="H155" s="15" t="s">
        <v>3</v>
      </c>
      <c r="I155" s="15">
        <v>6208</v>
      </c>
      <c r="J155" s="15" t="s">
        <v>3</v>
      </c>
      <c r="K155" s="15">
        <v>486</v>
      </c>
      <c r="L155" s="15" t="s">
        <v>3</v>
      </c>
      <c r="M155" s="15" t="s">
        <v>3</v>
      </c>
      <c r="N155" s="15" t="s">
        <v>3</v>
      </c>
      <c r="O155" s="15">
        <v>4138349</v>
      </c>
      <c r="P155" s="15" t="s">
        <v>3</v>
      </c>
      <c r="Q155" s="15" t="s">
        <v>3</v>
      </c>
      <c r="R155" s="15">
        <v>7</v>
      </c>
    </row>
    <row r="156" spans="1:18" ht="15.75" customHeight="1" x14ac:dyDescent="0.25">
      <c r="A156" s="15" t="s">
        <v>18</v>
      </c>
      <c r="B156" s="15" t="s">
        <v>20</v>
      </c>
      <c r="C156" s="15">
        <v>2005</v>
      </c>
      <c r="D156" s="15">
        <v>1</v>
      </c>
      <c r="E156" s="15">
        <f>3998533+23532</f>
        <v>4022065</v>
      </c>
      <c r="F156" s="15" t="s">
        <v>3</v>
      </c>
      <c r="G156" s="15">
        <f>133122+2175</f>
        <v>135297</v>
      </c>
      <c r="H156" s="15" t="s">
        <v>3</v>
      </c>
      <c r="I156" s="15">
        <f>6208+486+187</f>
        <v>6881</v>
      </c>
      <c r="J156" s="15" t="s">
        <v>3</v>
      </c>
      <c r="K156" s="15" t="s">
        <v>3</v>
      </c>
      <c r="L156" s="15" t="s">
        <v>3</v>
      </c>
      <c r="M156" s="15" t="s">
        <v>3</v>
      </c>
      <c r="N156" s="15" t="s">
        <v>3</v>
      </c>
      <c r="O156" s="15">
        <f>4138349+25894</f>
        <v>4164243</v>
      </c>
      <c r="P156" s="15" t="s">
        <v>3</v>
      </c>
      <c r="Q156" s="15" t="s">
        <v>3</v>
      </c>
      <c r="R156" s="15" t="s">
        <v>84</v>
      </c>
    </row>
    <row r="157" spans="1:18" ht="15.75" customHeight="1" x14ac:dyDescent="0.25">
      <c r="A157" s="15" t="s">
        <v>18</v>
      </c>
      <c r="B157" s="15" t="s">
        <v>20</v>
      </c>
      <c r="C157" s="15">
        <v>2006</v>
      </c>
      <c r="D157" s="15">
        <v>0</v>
      </c>
      <c r="E157" s="15">
        <v>4121930</v>
      </c>
      <c r="F157" s="15" t="s">
        <v>3</v>
      </c>
      <c r="G157" s="15">
        <v>137085</v>
      </c>
      <c r="H157" s="15" t="s">
        <v>3</v>
      </c>
      <c r="I157" s="15">
        <v>6118</v>
      </c>
      <c r="J157" s="15" t="s">
        <v>3</v>
      </c>
      <c r="K157" s="15">
        <v>422</v>
      </c>
      <c r="L157" s="15" t="s">
        <v>3</v>
      </c>
      <c r="M157" s="15" t="s">
        <v>3</v>
      </c>
      <c r="N157" s="15" t="s">
        <v>3</v>
      </c>
      <c r="O157" s="15">
        <v>4265555</v>
      </c>
      <c r="P157" s="15" t="s">
        <v>3</v>
      </c>
      <c r="Q157" s="15" t="s">
        <v>3</v>
      </c>
      <c r="R157" s="15">
        <v>7</v>
      </c>
    </row>
    <row r="158" spans="1:18" ht="15.75" customHeight="1" x14ac:dyDescent="0.25">
      <c r="A158" s="15" t="s">
        <v>18</v>
      </c>
      <c r="B158" s="15" t="s">
        <v>20</v>
      </c>
      <c r="C158" s="15">
        <v>2006</v>
      </c>
      <c r="D158" s="15">
        <v>1</v>
      </c>
      <c r="E158" s="15">
        <f>4121930+23599</f>
        <v>4145529</v>
      </c>
      <c r="F158" s="15" t="s">
        <v>3</v>
      </c>
      <c r="G158" s="15">
        <f>137085+2191</f>
        <v>139276</v>
      </c>
      <c r="H158" s="15" t="s">
        <v>3</v>
      </c>
      <c r="I158" s="15">
        <f>6118+422+182</f>
        <v>6722</v>
      </c>
      <c r="J158" s="15" t="s">
        <v>3</v>
      </c>
      <c r="K158" s="15" t="s">
        <v>3</v>
      </c>
      <c r="L158" s="15" t="s">
        <v>3</v>
      </c>
      <c r="M158" s="15" t="s">
        <v>3</v>
      </c>
      <c r="N158" s="15" t="s">
        <v>3</v>
      </c>
      <c r="O158" s="15">
        <f>4265555+25972</f>
        <v>4291527</v>
      </c>
      <c r="P158" s="15" t="s">
        <v>3</v>
      </c>
      <c r="Q158" s="15" t="s">
        <v>3</v>
      </c>
      <c r="R158" s="15" t="s">
        <v>84</v>
      </c>
    </row>
    <row r="159" spans="1:18" ht="15.75" customHeight="1" x14ac:dyDescent="0.25">
      <c r="A159" s="15" t="s">
        <v>18</v>
      </c>
      <c r="B159" s="15" t="s">
        <v>20</v>
      </c>
      <c r="C159" s="15">
        <v>2007</v>
      </c>
      <c r="D159" s="15">
        <v>0</v>
      </c>
      <c r="E159" s="15">
        <v>4170845</v>
      </c>
      <c r="F159" s="15" t="s">
        <v>3</v>
      </c>
      <c r="G159" s="15">
        <v>138961</v>
      </c>
      <c r="H159" s="15" t="s">
        <v>3</v>
      </c>
      <c r="I159" s="15">
        <v>5967</v>
      </c>
      <c r="J159" s="15" t="s">
        <v>3</v>
      </c>
      <c r="K159" s="15">
        <v>460</v>
      </c>
      <c r="L159" s="15" t="s">
        <v>3</v>
      </c>
      <c r="M159" s="15" t="s">
        <v>3</v>
      </c>
      <c r="N159" s="15" t="s">
        <v>3</v>
      </c>
      <c r="O159" s="15">
        <v>4316233</v>
      </c>
      <c r="P159" s="15" t="s">
        <v>3</v>
      </c>
      <c r="Q159" s="15" t="s">
        <v>3</v>
      </c>
      <c r="R159" s="15">
        <v>7</v>
      </c>
    </row>
    <row r="160" spans="1:18" ht="15.75" customHeight="1" x14ac:dyDescent="0.25">
      <c r="A160" s="15" t="s">
        <v>18</v>
      </c>
      <c r="B160" s="15" t="s">
        <v>20</v>
      </c>
      <c r="C160" s="15">
        <v>2008</v>
      </c>
      <c r="D160" s="15">
        <v>0</v>
      </c>
      <c r="E160" s="15">
        <v>4102766</v>
      </c>
      <c r="F160" s="15" t="s">
        <v>3</v>
      </c>
      <c r="G160" s="15">
        <v>138660</v>
      </c>
      <c r="H160" s="15" t="s">
        <v>3</v>
      </c>
      <c r="I160" s="15">
        <v>5877</v>
      </c>
      <c r="J160" s="15" t="s">
        <v>3</v>
      </c>
      <c r="K160" s="15">
        <v>391</v>
      </c>
      <c r="L160" s="15" t="s">
        <v>3</v>
      </c>
      <c r="M160" s="15" t="s">
        <v>3</v>
      </c>
      <c r="N160" s="15" t="s">
        <v>3</v>
      </c>
      <c r="O160" s="15">
        <v>4247694</v>
      </c>
      <c r="P160" s="15" t="s">
        <v>3</v>
      </c>
      <c r="Q160" s="15" t="s">
        <v>3</v>
      </c>
      <c r="R160" s="15">
        <v>7</v>
      </c>
    </row>
    <row r="161" spans="1:20" ht="15.75" customHeight="1" x14ac:dyDescent="0.25">
      <c r="A161" s="15" t="s">
        <v>18</v>
      </c>
      <c r="B161" s="15" t="s">
        <v>20</v>
      </c>
      <c r="C161" s="15">
        <v>2009</v>
      </c>
      <c r="D161" s="15">
        <v>0</v>
      </c>
      <c r="E161" s="15">
        <v>3987108</v>
      </c>
      <c r="F161" s="15" t="s">
        <v>3</v>
      </c>
      <c r="G161" s="15">
        <v>137217</v>
      </c>
      <c r="H161" s="15" t="s">
        <v>3</v>
      </c>
      <c r="I161" s="15">
        <v>5905</v>
      </c>
      <c r="J161" s="15" t="s">
        <v>3</v>
      </c>
      <c r="K161" s="15">
        <v>435</v>
      </c>
      <c r="L161" s="15" t="s">
        <v>3</v>
      </c>
      <c r="M161" s="15" t="s">
        <v>3</v>
      </c>
      <c r="N161" s="15" t="s">
        <v>3</v>
      </c>
      <c r="O161" s="15">
        <v>4130665</v>
      </c>
      <c r="P161" s="15" t="s">
        <v>3</v>
      </c>
      <c r="Q161" s="15" t="s">
        <v>3</v>
      </c>
      <c r="R161" s="15">
        <v>7</v>
      </c>
    </row>
    <row r="162" spans="1:20" ht="15.75" customHeight="1" x14ac:dyDescent="0.3">
      <c r="A162" s="15" t="s">
        <v>18</v>
      </c>
      <c r="B162" s="15" t="s">
        <v>20</v>
      </c>
      <c r="C162" s="15">
        <v>2010</v>
      </c>
      <c r="D162" s="15">
        <v>0</v>
      </c>
      <c r="E162" s="15">
        <v>3861321</v>
      </c>
      <c r="F162" s="15" t="s">
        <v>3</v>
      </c>
      <c r="G162" s="15">
        <v>132562</v>
      </c>
      <c r="H162" s="15" t="s">
        <v>3</v>
      </c>
      <c r="I162" s="15">
        <v>5153</v>
      </c>
      <c r="J162" s="15" t="s">
        <v>3</v>
      </c>
      <c r="K162" s="15">
        <v>350</v>
      </c>
      <c r="L162" s="15" t="s">
        <v>3</v>
      </c>
      <c r="M162" s="15" t="s">
        <v>3</v>
      </c>
      <c r="N162" s="15" t="s">
        <v>3</v>
      </c>
      <c r="O162" s="15">
        <v>3999386</v>
      </c>
      <c r="P162" s="15" t="s">
        <v>3</v>
      </c>
      <c r="Q162" s="15" t="s">
        <v>3</v>
      </c>
      <c r="R162" s="15">
        <v>7</v>
      </c>
      <c r="T162" s="54"/>
    </row>
    <row r="163" spans="1:20" ht="15.75" customHeight="1" x14ac:dyDescent="0.25">
      <c r="A163" s="15" t="s">
        <v>18</v>
      </c>
      <c r="B163" s="15" t="s">
        <v>20</v>
      </c>
      <c r="C163" s="15">
        <v>2011</v>
      </c>
      <c r="D163" s="15">
        <v>0</v>
      </c>
      <c r="E163" s="15">
        <v>3816904</v>
      </c>
      <c r="F163" s="15" t="s">
        <v>3</v>
      </c>
      <c r="G163" s="15">
        <v>131269</v>
      </c>
      <c r="H163" s="15" t="s">
        <v>3</v>
      </c>
      <c r="I163" s="15">
        <v>5137</v>
      </c>
      <c r="J163" s="15" t="s">
        <v>3</v>
      </c>
      <c r="K163" s="15">
        <v>280</v>
      </c>
      <c r="L163" s="15" t="s">
        <v>3</v>
      </c>
      <c r="M163" s="15" t="s">
        <v>3</v>
      </c>
      <c r="N163" s="15" t="s">
        <v>3</v>
      </c>
      <c r="O163" s="15">
        <v>3953590</v>
      </c>
      <c r="P163" s="15" t="s">
        <v>3</v>
      </c>
      <c r="Q163" s="15" t="s">
        <v>3</v>
      </c>
      <c r="R163" s="15">
        <v>7</v>
      </c>
      <c r="T163" s="55"/>
    </row>
    <row r="164" spans="1:20" ht="15.75" customHeight="1" x14ac:dyDescent="0.25">
      <c r="A164" s="15" t="s">
        <v>18</v>
      </c>
      <c r="B164" s="15" t="s">
        <v>20</v>
      </c>
      <c r="C164" s="15">
        <v>2012</v>
      </c>
      <c r="D164" s="15">
        <v>0</v>
      </c>
      <c r="E164" s="15">
        <v>3816898</v>
      </c>
      <c r="F164" s="15" t="s">
        <v>3</v>
      </c>
      <c r="G164" s="15">
        <v>131024</v>
      </c>
      <c r="H164" s="15" t="s">
        <v>3</v>
      </c>
      <c r="I164" s="15">
        <v>4598</v>
      </c>
      <c r="J164" s="15" t="s">
        <v>3</v>
      </c>
      <c r="K164" s="15">
        <f>276+45</f>
        <v>321</v>
      </c>
      <c r="L164" s="15" t="s">
        <v>3</v>
      </c>
      <c r="M164" s="15" t="s">
        <v>3</v>
      </c>
      <c r="N164" s="15" t="s">
        <v>3</v>
      </c>
      <c r="O164" s="15">
        <v>3952841</v>
      </c>
      <c r="P164" s="15" t="s">
        <v>3</v>
      </c>
      <c r="Q164" s="15" t="s">
        <v>3</v>
      </c>
      <c r="R164" s="15">
        <v>7</v>
      </c>
      <c r="T164" s="55"/>
    </row>
    <row r="165" spans="1:20" ht="15.75" customHeight="1" x14ac:dyDescent="0.25">
      <c r="A165" s="15" t="s">
        <v>18</v>
      </c>
      <c r="B165" s="15" t="s">
        <v>20</v>
      </c>
      <c r="C165" s="15">
        <v>2013</v>
      </c>
      <c r="D165" s="15">
        <v>0</v>
      </c>
      <c r="E165" s="15">
        <v>3795157</v>
      </c>
      <c r="F165" s="15" t="s">
        <v>3</v>
      </c>
      <c r="G165" s="15">
        <v>132324</v>
      </c>
      <c r="H165" s="15" t="s">
        <v>3</v>
      </c>
      <c r="I165" s="15">
        <v>4364</v>
      </c>
      <c r="J165" s="15" t="s">
        <v>3</v>
      </c>
      <c r="K165" s="15">
        <f>270+66</f>
        <v>336</v>
      </c>
      <c r="L165" s="15" t="s">
        <v>3</v>
      </c>
      <c r="M165" s="15" t="s">
        <v>3</v>
      </c>
      <c r="N165" s="15" t="s">
        <v>3</v>
      </c>
      <c r="O165" s="15">
        <v>3932181</v>
      </c>
      <c r="P165" s="15" t="s">
        <v>3</v>
      </c>
      <c r="Q165" s="15" t="s">
        <v>3</v>
      </c>
      <c r="R165" s="15">
        <v>7</v>
      </c>
      <c r="T165" s="55"/>
    </row>
    <row r="166" spans="1:20" ht="15.75" customHeight="1" x14ac:dyDescent="0.25">
      <c r="A166" s="15" t="s">
        <v>18</v>
      </c>
      <c r="B166" s="15" t="s">
        <v>20</v>
      </c>
      <c r="C166" s="15">
        <v>2013</v>
      </c>
      <c r="D166" s="15">
        <v>1</v>
      </c>
      <c r="E166" s="15">
        <f>3795157+21559</f>
        <v>3816716</v>
      </c>
      <c r="F166" s="15" t="s">
        <v>3</v>
      </c>
      <c r="G166" s="15">
        <f>132324+1888</f>
        <v>134212</v>
      </c>
      <c r="H166" s="15" t="s">
        <v>3</v>
      </c>
      <c r="I166" s="15">
        <f>4364+336+148</f>
        <v>4848</v>
      </c>
      <c r="J166" s="15" t="s">
        <v>3</v>
      </c>
      <c r="K166" s="15" t="s">
        <v>3</v>
      </c>
      <c r="L166" s="15" t="s">
        <v>3</v>
      </c>
      <c r="M166" s="15" t="s">
        <v>3</v>
      </c>
      <c r="N166" s="15" t="s">
        <v>3</v>
      </c>
      <c r="O166" s="15">
        <f>3932181+23595</f>
        <v>3955776</v>
      </c>
      <c r="P166" s="15" t="s">
        <v>3</v>
      </c>
      <c r="Q166" s="15" t="s">
        <v>3</v>
      </c>
      <c r="R166" s="15" t="s">
        <v>84</v>
      </c>
      <c r="T166" s="55"/>
    </row>
    <row r="167" spans="1:20" ht="15.75" customHeight="1" x14ac:dyDescent="0.25">
      <c r="A167" s="15" t="s">
        <v>18</v>
      </c>
      <c r="B167" s="15" t="s">
        <v>20</v>
      </c>
      <c r="C167" s="15">
        <v>2014</v>
      </c>
      <c r="D167" s="15">
        <v>0</v>
      </c>
      <c r="E167" s="15">
        <v>3848214</v>
      </c>
      <c r="F167" s="15" t="s">
        <v>3</v>
      </c>
      <c r="G167" s="15">
        <v>135336</v>
      </c>
      <c r="H167" s="15" t="s">
        <v>3</v>
      </c>
      <c r="I167" s="15">
        <v>4233</v>
      </c>
      <c r="J167" s="15" t="s">
        <v>3</v>
      </c>
      <c r="K167" s="15">
        <f>246+47</f>
        <v>293</v>
      </c>
      <c r="L167" s="15" t="s">
        <v>3</v>
      </c>
      <c r="M167" s="15" t="s">
        <v>3</v>
      </c>
      <c r="N167" s="15" t="s">
        <v>3</v>
      </c>
      <c r="O167" s="15">
        <v>3988076</v>
      </c>
      <c r="P167" s="15" t="s">
        <v>3</v>
      </c>
      <c r="Q167" s="15" t="s">
        <v>3</v>
      </c>
      <c r="R167" s="15">
        <v>7</v>
      </c>
      <c r="T167" s="55"/>
    </row>
    <row r="168" spans="1:20" ht="15.75" customHeight="1" x14ac:dyDescent="0.25">
      <c r="A168" s="15" t="s">
        <v>18</v>
      </c>
      <c r="B168" s="15" t="s">
        <v>20</v>
      </c>
      <c r="C168" s="15">
        <v>2015</v>
      </c>
      <c r="D168" s="15">
        <v>0</v>
      </c>
      <c r="E168" s="15">
        <v>3841219</v>
      </c>
      <c r="F168" s="15" t="s">
        <v>3</v>
      </c>
      <c r="G168" s="15">
        <v>133155</v>
      </c>
      <c r="H168" s="15" t="s">
        <v>3</v>
      </c>
      <c r="I168" s="15">
        <v>3871</v>
      </c>
      <c r="J168" s="15" t="s">
        <v>3</v>
      </c>
      <c r="K168" s="15">
        <f>228+24</f>
        <v>252</v>
      </c>
      <c r="L168" s="15" t="s">
        <v>3</v>
      </c>
      <c r="M168" s="15" t="s">
        <v>3</v>
      </c>
      <c r="N168" s="15" t="s">
        <v>3</v>
      </c>
      <c r="O168" s="15">
        <v>3978497</v>
      </c>
      <c r="P168" s="15" t="s">
        <v>3</v>
      </c>
      <c r="Q168" s="15" t="s">
        <v>3</v>
      </c>
      <c r="R168" s="15">
        <v>7</v>
      </c>
      <c r="T168" s="55"/>
    </row>
    <row r="169" spans="1:20" ht="15.75" customHeight="1" x14ac:dyDescent="0.25">
      <c r="A169" s="15" t="s">
        <v>18</v>
      </c>
      <c r="B169" s="15" t="s">
        <v>20</v>
      </c>
      <c r="C169" s="15">
        <v>2016</v>
      </c>
      <c r="D169" s="15">
        <v>0</v>
      </c>
      <c r="E169" s="15">
        <v>3810149</v>
      </c>
      <c r="F169" s="15" t="s">
        <v>3</v>
      </c>
      <c r="G169" s="15">
        <v>131723</v>
      </c>
      <c r="H169" s="15" t="s">
        <v>3</v>
      </c>
      <c r="I169" s="15">
        <v>3755</v>
      </c>
      <c r="J169" s="15" t="s">
        <v>3</v>
      </c>
      <c r="K169" s="15">
        <f>217+31</f>
        <v>248</v>
      </c>
      <c r="L169" s="15" t="s">
        <v>3</v>
      </c>
      <c r="M169" s="15" t="s">
        <v>3</v>
      </c>
      <c r="N169" s="15" t="s">
        <v>3</v>
      </c>
      <c r="O169" s="15">
        <v>3945875</v>
      </c>
      <c r="P169" s="15" t="s">
        <v>3</v>
      </c>
      <c r="Q169" s="15" t="s">
        <v>3</v>
      </c>
      <c r="R169" s="15">
        <v>7</v>
      </c>
      <c r="T169" s="55"/>
    </row>
    <row r="170" spans="1:20" ht="15.75" customHeight="1" x14ac:dyDescent="0.25">
      <c r="A170" s="15" t="s">
        <v>18</v>
      </c>
      <c r="B170" s="15" t="s">
        <v>20</v>
      </c>
      <c r="C170" s="15">
        <v>2017</v>
      </c>
      <c r="D170" s="15">
        <v>0</v>
      </c>
      <c r="E170" s="15">
        <v>3723273</v>
      </c>
      <c r="F170" s="15" t="s">
        <v>3</v>
      </c>
      <c r="G170" s="15">
        <v>128310</v>
      </c>
      <c r="H170" s="15" t="s">
        <v>3</v>
      </c>
      <c r="I170" s="15">
        <v>3675</v>
      </c>
      <c r="J170" s="15" t="s">
        <v>3</v>
      </c>
      <c r="K170" s="15">
        <f>193+49</f>
        <v>242</v>
      </c>
      <c r="L170" s="15" t="s">
        <v>3</v>
      </c>
      <c r="M170" s="15" t="s">
        <v>3</v>
      </c>
      <c r="N170" s="15" t="s">
        <v>3</v>
      </c>
      <c r="O170" s="15">
        <v>3855500</v>
      </c>
      <c r="P170" s="15" t="s">
        <v>3</v>
      </c>
      <c r="Q170" s="15" t="s">
        <v>3</v>
      </c>
      <c r="R170" s="15">
        <v>7</v>
      </c>
      <c r="T170" s="55"/>
    </row>
    <row r="171" spans="1:20" ht="15.75" customHeight="1" x14ac:dyDescent="0.25">
      <c r="A171" s="15" t="s">
        <v>18</v>
      </c>
      <c r="B171" s="15" t="s">
        <v>20</v>
      </c>
      <c r="C171" s="15">
        <v>2018</v>
      </c>
      <c r="D171" s="15">
        <v>0</v>
      </c>
      <c r="E171" s="15">
        <v>3664651</v>
      </c>
      <c r="F171" s="15" t="s">
        <v>3</v>
      </c>
      <c r="G171" s="15">
        <v>123536</v>
      </c>
      <c r="H171" s="15" t="s">
        <v>3</v>
      </c>
      <c r="I171" s="15">
        <v>3400</v>
      </c>
      <c r="J171" s="15" t="s">
        <v>3</v>
      </c>
      <c r="K171" s="15">
        <f>115+10</f>
        <v>125</v>
      </c>
      <c r="L171" s="15" t="s">
        <v>3</v>
      </c>
      <c r="M171" s="15" t="s">
        <v>3</v>
      </c>
      <c r="N171" s="15" t="s">
        <v>3</v>
      </c>
      <c r="O171" s="15">
        <v>3791712</v>
      </c>
      <c r="P171" s="15" t="s">
        <v>3</v>
      </c>
      <c r="Q171" s="15" t="s">
        <v>3</v>
      </c>
      <c r="R171" s="15">
        <v>7</v>
      </c>
      <c r="T171" s="55"/>
    </row>
    <row r="172" spans="1:20" ht="15.75" customHeight="1" x14ac:dyDescent="0.25">
      <c r="A172" s="15" t="s">
        <v>18</v>
      </c>
      <c r="B172" s="15" t="s">
        <v>20</v>
      </c>
      <c r="C172" s="15">
        <v>2019</v>
      </c>
      <c r="D172" s="15">
        <v>0</v>
      </c>
      <c r="E172" s="15">
        <v>3623963</v>
      </c>
      <c r="F172" s="15" t="s">
        <v>3</v>
      </c>
      <c r="G172" s="15">
        <v>120291</v>
      </c>
      <c r="H172" s="15" t="s">
        <v>3</v>
      </c>
      <c r="I172" s="15">
        <v>3136</v>
      </c>
      <c r="J172" s="15" t="s">
        <v>3</v>
      </c>
      <c r="K172" s="15">
        <f>114+36</f>
        <v>150</v>
      </c>
      <c r="L172" s="15" t="s">
        <v>3</v>
      </c>
      <c r="M172" s="15" t="s">
        <v>3</v>
      </c>
      <c r="N172" s="15" t="s">
        <v>3</v>
      </c>
      <c r="O172" s="15">
        <v>3747540</v>
      </c>
      <c r="P172" s="15" t="s">
        <v>3</v>
      </c>
      <c r="Q172" s="15" t="s">
        <v>3</v>
      </c>
      <c r="R172" s="15">
        <v>7</v>
      </c>
      <c r="T172" s="55"/>
    </row>
    <row r="173" spans="1:20" ht="15.75" customHeight="1" x14ac:dyDescent="0.25">
      <c r="A173" s="15" t="s">
        <v>18</v>
      </c>
      <c r="B173" s="15" t="s">
        <v>20</v>
      </c>
      <c r="C173" s="15">
        <v>2019</v>
      </c>
      <c r="D173" s="15">
        <v>1</v>
      </c>
      <c r="E173" s="15">
        <f>3623963+19937</f>
        <v>3643900</v>
      </c>
      <c r="F173" s="15" t="s">
        <v>3</v>
      </c>
      <c r="G173" s="15">
        <f>120291+1455</f>
        <v>121746</v>
      </c>
      <c r="H173" s="15" t="s">
        <v>3</v>
      </c>
      <c r="I173" s="15">
        <f>3136+150+86</f>
        <v>3372</v>
      </c>
      <c r="J173" s="15" t="s">
        <v>3</v>
      </c>
      <c r="K173" s="15" t="s">
        <v>3</v>
      </c>
      <c r="L173" s="15" t="s">
        <v>3</v>
      </c>
      <c r="M173" s="15" t="s">
        <v>3</v>
      </c>
      <c r="N173" s="15" t="s">
        <v>3</v>
      </c>
      <c r="O173" s="15">
        <f>3747540+21478</f>
        <v>3769018</v>
      </c>
      <c r="P173" s="15" t="s">
        <v>3</v>
      </c>
      <c r="Q173" s="15" t="s">
        <v>3</v>
      </c>
      <c r="R173" s="15" t="s">
        <v>84</v>
      </c>
      <c r="T173" s="55"/>
    </row>
    <row r="174" spans="1:20" ht="15.75" customHeight="1" x14ac:dyDescent="0.25">
      <c r="A174" s="15" t="s">
        <v>18</v>
      </c>
      <c r="B174" s="15" t="s">
        <v>20</v>
      </c>
      <c r="C174" s="15">
        <v>2020</v>
      </c>
      <c r="D174" s="15">
        <v>0</v>
      </c>
      <c r="E174" s="15">
        <v>3498335</v>
      </c>
      <c r="F174" s="15" t="s">
        <v>3</v>
      </c>
      <c r="G174" s="15">
        <v>112437</v>
      </c>
      <c r="H174" s="15" t="s">
        <v>3</v>
      </c>
      <c r="I174" s="15">
        <v>2738</v>
      </c>
      <c r="J174" s="15" t="s">
        <v>3</v>
      </c>
      <c r="K174" s="15">
        <f>108+29</f>
        <v>137</v>
      </c>
      <c r="L174" s="15" t="s">
        <v>3</v>
      </c>
      <c r="M174" s="15" t="s">
        <v>3</v>
      </c>
      <c r="N174" s="15" t="s">
        <v>3</v>
      </c>
      <c r="O174" s="15">
        <v>3613647</v>
      </c>
      <c r="P174" s="15" t="s">
        <v>3</v>
      </c>
      <c r="Q174" s="15" t="s">
        <v>3</v>
      </c>
      <c r="R174" s="15">
        <v>7</v>
      </c>
      <c r="T174" s="55"/>
    </row>
    <row r="175" spans="1:20" ht="15.75" customHeight="1" x14ac:dyDescent="0.25">
      <c r="A175" s="15" t="s">
        <v>18</v>
      </c>
      <c r="B175" s="15" t="s">
        <v>20</v>
      </c>
      <c r="C175" s="15">
        <v>2020</v>
      </c>
      <c r="D175" s="15">
        <v>1</v>
      </c>
      <c r="E175" s="15">
        <f>3498335+19389</f>
        <v>3517724</v>
      </c>
      <c r="F175" s="15" t="s">
        <v>3</v>
      </c>
      <c r="G175" s="15">
        <f>112437+1380</f>
        <v>113817</v>
      </c>
      <c r="H175" s="15" t="s">
        <v>3</v>
      </c>
      <c r="I175" s="15">
        <f>2738+137+85</f>
        <v>2960</v>
      </c>
      <c r="J175" s="15" t="s">
        <v>3</v>
      </c>
      <c r="K175" s="15" t="s">
        <v>3</v>
      </c>
      <c r="L175" s="15" t="s">
        <v>3</v>
      </c>
      <c r="M175" s="15" t="s">
        <v>3</v>
      </c>
      <c r="N175" s="15" t="s">
        <v>3</v>
      </c>
      <c r="O175" s="15">
        <f>3613647+20854</f>
        <v>3634501</v>
      </c>
      <c r="P175" s="15" t="s">
        <v>3</v>
      </c>
      <c r="Q175" s="15" t="s">
        <v>3</v>
      </c>
      <c r="R175" s="15" t="s">
        <v>84</v>
      </c>
      <c r="T175" s="55"/>
    </row>
    <row r="176" spans="1:20" ht="15.75" customHeight="1" x14ac:dyDescent="0.25">
      <c r="A176" s="15" t="s">
        <v>18</v>
      </c>
      <c r="B176" s="15" t="s">
        <v>20</v>
      </c>
      <c r="C176" s="15">
        <v>2021</v>
      </c>
      <c r="D176" s="15">
        <v>0</v>
      </c>
      <c r="E176" s="15">
        <v>3547198</v>
      </c>
      <c r="F176" s="15" t="s">
        <v>3</v>
      </c>
      <c r="G176" s="15">
        <v>114161</v>
      </c>
      <c r="H176" s="15" t="s">
        <v>3</v>
      </c>
      <c r="I176" s="15" t="s">
        <v>3</v>
      </c>
      <c r="J176" s="15" t="s">
        <v>3</v>
      </c>
      <c r="K176" s="15" t="s">
        <v>3</v>
      </c>
      <c r="L176" s="15" t="s">
        <v>3</v>
      </c>
      <c r="M176" s="15" t="s">
        <v>3</v>
      </c>
      <c r="N176" s="15" t="s">
        <v>3</v>
      </c>
      <c r="O176" s="15">
        <v>3664292</v>
      </c>
      <c r="P176" s="15" t="s">
        <v>3</v>
      </c>
      <c r="Q176" s="15" t="s">
        <v>3</v>
      </c>
      <c r="R176" s="15">
        <v>9</v>
      </c>
      <c r="S176" s="53"/>
      <c r="T176" s="55"/>
    </row>
    <row r="177" spans="19:19" ht="15.75" customHeight="1" x14ac:dyDescent="0.25">
      <c r="S177" s="53"/>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workbookViewId="0"/>
  </sheetViews>
  <sheetFormatPr baseColWidth="10" defaultColWidth="11.54296875" defaultRowHeight="12.5" x14ac:dyDescent="0.25"/>
  <cols>
    <col min="1" max="1" width="29.81640625" style="7" customWidth="1"/>
    <col min="2" max="2" width="99.7265625" style="3" customWidth="1"/>
    <col min="3" max="16384" width="11.54296875" style="3"/>
  </cols>
  <sheetData>
    <row r="1" spans="1:2" x14ac:dyDescent="0.25">
      <c r="A1" s="3"/>
    </row>
    <row r="2" spans="1:2" x14ac:dyDescent="0.25">
      <c r="A2" s="3"/>
    </row>
    <row r="3" spans="1:2" x14ac:dyDescent="0.25">
      <c r="A3" s="3"/>
    </row>
    <row r="4" spans="1:2" x14ac:dyDescent="0.25">
      <c r="A4" s="3"/>
    </row>
    <row r="5" spans="1:2" x14ac:dyDescent="0.25">
      <c r="A5" s="3"/>
      <c r="B5" s="20" t="s">
        <v>50</v>
      </c>
    </row>
    <row r="6" spans="1:2" x14ac:dyDescent="0.25">
      <c r="A6" s="3"/>
    </row>
    <row r="7" spans="1:2" ht="15.5" x14ac:dyDescent="0.35">
      <c r="A7" s="14" t="s">
        <v>35</v>
      </c>
    </row>
    <row r="8" spans="1:2" ht="16" thickBot="1" x14ac:dyDescent="0.4">
      <c r="A8" s="14"/>
    </row>
    <row r="9" spans="1:2" ht="15.5" x14ac:dyDescent="0.25">
      <c r="A9" s="12" t="s">
        <v>25</v>
      </c>
      <c r="B9" s="13" t="s">
        <v>26</v>
      </c>
    </row>
    <row r="10" spans="1:2" ht="13" x14ac:dyDescent="0.3">
      <c r="A10" s="8" t="s">
        <v>0</v>
      </c>
      <c r="B10" s="9" t="s">
        <v>27</v>
      </c>
    </row>
    <row r="11" spans="1:2" ht="13" x14ac:dyDescent="0.3">
      <c r="A11" s="10" t="s">
        <v>1</v>
      </c>
      <c r="B11" s="9" t="s">
        <v>29</v>
      </c>
    </row>
    <row r="12" spans="1:2" ht="13" x14ac:dyDescent="0.3">
      <c r="A12" s="8" t="s">
        <v>2</v>
      </c>
      <c r="B12" s="21" t="s">
        <v>28</v>
      </c>
    </row>
    <row r="13" spans="1:2" x14ac:dyDescent="0.25">
      <c r="A13" s="56" t="s">
        <v>7</v>
      </c>
      <c r="B13" s="21" t="s">
        <v>30</v>
      </c>
    </row>
    <row r="14" spans="1:2" x14ac:dyDescent="0.25">
      <c r="A14" s="56"/>
      <c r="B14" s="22" t="s">
        <v>31</v>
      </c>
    </row>
    <row r="15" spans="1:2" x14ac:dyDescent="0.25">
      <c r="A15" s="56"/>
      <c r="B15" s="22" t="s">
        <v>32</v>
      </c>
    </row>
    <row r="16" spans="1:2" x14ac:dyDescent="0.25">
      <c r="A16" s="56"/>
      <c r="B16" s="22" t="s">
        <v>33</v>
      </c>
    </row>
    <row r="17" spans="1:2" x14ac:dyDescent="0.25">
      <c r="A17" s="56"/>
      <c r="B17" s="23" t="s">
        <v>34</v>
      </c>
    </row>
    <row r="18" spans="1:2" ht="13" x14ac:dyDescent="0.3">
      <c r="A18" s="8" t="s">
        <v>8</v>
      </c>
      <c r="B18" s="23" t="s">
        <v>36</v>
      </c>
    </row>
    <row r="19" spans="1:2" ht="13" x14ac:dyDescent="0.3">
      <c r="A19" s="8" t="s">
        <v>9</v>
      </c>
      <c r="B19" s="9" t="s">
        <v>37</v>
      </c>
    </row>
    <row r="20" spans="1:2" ht="13" x14ac:dyDescent="0.3">
      <c r="A20" s="8" t="s">
        <v>10</v>
      </c>
      <c r="B20" s="9" t="s">
        <v>38</v>
      </c>
    </row>
    <row r="21" spans="1:2" ht="13" x14ac:dyDescent="0.3">
      <c r="A21" s="8" t="s">
        <v>11</v>
      </c>
      <c r="B21" s="9" t="s">
        <v>56</v>
      </c>
    </row>
    <row r="22" spans="1:2" ht="13" x14ac:dyDescent="0.3">
      <c r="A22" s="8" t="s">
        <v>12</v>
      </c>
      <c r="B22" s="9" t="s">
        <v>39</v>
      </c>
    </row>
    <row r="23" spans="1:2" ht="13" x14ac:dyDescent="0.3">
      <c r="A23" s="8" t="s">
        <v>13</v>
      </c>
      <c r="B23" s="9" t="s">
        <v>40</v>
      </c>
    </row>
    <row r="24" spans="1:2" ht="13" x14ac:dyDescent="0.3">
      <c r="A24" s="8" t="s">
        <v>14</v>
      </c>
      <c r="B24" s="9" t="s">
        <v>41</v>
      </c>
    </row>
    <row r="25" spans="1:2" ht="13" x14ac:dyDescent="0.3">
      <c r="A25" s="8" t="s">
        <v>15</v>
      </c>
      <c r="B25" s="9" t="s">
        <v>42</v>
      </c>
    </row>
    <row r="26" spans="1:2" ht="13" x14ac:dyDescent="0.3">
      <c r="A26" s="8" t="s">
        <v>16</v>
      </c>
      <c r="B26" s="11" t="s">
        <v>43</v>
      </c>
    </row>
    <row r="27" spans="1:2" ht="13.75" customHeight="1" x14ac:dyDescent="0.3">
      <c r="A27" s="8" t="s">
        <v>4</v>
      </c>
      <c r="B27" s="9" t="s">
        <v>44</v>
      </c>
    </row>
    <row r="28" spans="1:2" ht="13" x14ac:dyDescent="0.3">
      <c r="A28" s="8" t="s">
        <v>17</v>
      </c>
      <c r="B28" s="9" t="s">
        <v>55</v>
      </c>
    </row>
    <row r="29" spans="1:2" ht="13" x14ac:dyDescent="0.3">
      <c r="A29" s="8" t="s">
        <v>5</v>
      </c>
      <c r="B29" s="11" t="s">
        <v>45</v>
      </c>
    </row>
    <row r="30" spans="1:2" ht="13" x14ac:dyDescent="0.3">
      <c r="A30" s="8" t="s">
        <v>6</v>
      </c>
      <c r="B30" s="24" t="s">
        <v>46</v>
      </c>
    </row>
    <row r="31" spans="1:2" ht="14.5" customHeight="1" thickBot="1" x14ac:dyDescent="0.3">
      <c r="A31" s="27" t="s">
        <v>53</v>
      </c>
      <c r="B31" s="28" t="s">
        <v>54</v>
      </c>
    </row>
  </sheetData>
  <mergeCells count="1">
    <mergeCell ref="A13:A17"/>
  </mergeCells>
  <hyperlinks>
    <hyperlink ref="B5" r:id="rId1"/>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workbookViewId="0">
      <pane ySplit="4" topLeftCell="A5" activePane="bottomLeft" state="frozen"/>
      <selection pane="bottomLeft"/>
    </sheetView>
  </sheetViews>
  <sheetFormatPr baseColWidth="10" defaultColWidth="10.81640625" defaultRowHeight="12.5" x14ac:dyDescent="0.25"/>
  <cols>
    <col min="1" max="1" width="11.26953125" style="3" customWidth="1"/>
    <col min="2" max="3" width="17.7265625" style="3" customWidth="1"/>
    <col min="4" max="4" width="17.7265625" style="31" customWidth="1"/>
    <col min="5" max="16384" width="10.81640625" style="3"/>
  </cols>
  <sheetData>
    <row r="1" spans="1:4" ht="15" x14ac:dyDescent="0.3">
      <c r="A1" s="30" t="s">
        <v>67</v>
      </c>
    </row>
    <row r="2" spans="1:4" ht="13" thickBot="1" x14ac:dyDescent="0.3"/>
    <row r="3" spans="1:4" ht="13" x14ac:dyDescent="0.25">
      <c r="A3" s="59" t="s">
        <v>2</v>
      </c>
      <c r="B3" s="57" t="s">
        <v>59</v>
      </c>
      <c r="C3" s="58"/>
      <c r="D3" s="61" t="s">
        <v>66</v>
      </c>
    </row>
    <row r="4" spans="1:4" ht="26" x14ac:dyDescent="0.25">
      <c r="A4" s="60"/>
      <c r="B4" s="37" t="s">
        <v>62</v>
      </c>
      <c r="C4" s="38" t="s">
        <v>60</v>
      </c>
      <c r="D4" s="62"/>
    </row>
    <row r="5" spans="1:4" ht="26" x14ac:dyDescent="0.25">
      <c r="A5" s="44"/>
      <c r="B5" s="46" t="s">
        <v>72</v>
      </c>
      <c r="C5" s="47" t="s">
        <v>18</v>
      </c>
      <c r="D5" s="45"/>
    </row>
    <row r="6" spans="1:4" x14ac:dyDescent="0.25">
      <c r="A6" s="33">
        <v>1915</v>
      </c>
      <c r="B6" s="33">
        <v>776304</v>
      </c>
      <c r="C6" s="39">
        <v>2965000</v>
      </c>
      <c r="D6" s="34">
        <f>ROUND((B6/C6)*100,1)</f>
        <v>26.2</v>
      </c>
    </row>
    <row r="7" spans="1:4" x14ac:dyDescent="0.25">
      <c r="A7" s="33">
        <v>1916</v>
      </c>
      <c r="B7" s="33">
        <v>818983</v>
      </c>
      <c r="C7" s="39">
        <v>2964000</v>
      </c>
      <c r="D7" s="34">
        <f t="shared" ref="D7:D23" si="0">ROUND((B7/C7)*100,1)</f>
        <v>27.6</v>
      </c>
    </row>
    <row r="8" spans="1:4" x14ac:dyDescent="0.25">
      <c r="A8" s="33">
        <v>1917</v>
      </c>
      <c r="B8" s="33">
        <v>1353792</v>
      </c>
      <c r="C8" s="39">
        <v>2944000</v>
      </c>
      <c r="D8" s="34">
        <f t="shared" si="0"/>
        <v>46</v>
      </c>
    </row>
    <row r="9" spans="1:4" x14ac:dyDescent="0.25">
      <c r="A9" s="33">
        <v>1918</v>
      </c>
      <c r="B9" s="33">
        <v>1363649</v>
      </c>
      <c r="C9" s="39">
        <v>2948000</v>
      </c>
      <c r="D9" s="34">
        <f t="shared" si="0"/>
        <v>46.3</v>
      </c>
    </row>
    <row r="10" spans="1:4" x14ac:dyDescent="0.25">
      <c r="A10" s="33">
        <v>1919</v>
      </c>
      <c r="B10" s="33">
        <v>1373438</v>
      </c>
      <c r="C10" s="39">
        <v>2740000</v>
      </c>
      <c r="D10" s="34">
        <f t="shared" si="0"/>
        <v>50.1</v>
      </c>
    </row>
    <row r="11" spans="1:4" x14ac:dyDescent="0.25">
      <c r="A11" s="33">
        <v>1920</v>
      </c>
      <c r="B11" s="33">
        <v>1508874</v>
      </c>
      <c r="C11" s="39">
        <v>2950000</v>
      </c>
      <c r="D11" s="34">
        <f t="shared" si="0"/>
        <v>51.1</v>
      </c>
    </row>
    <row r="12" spans="1:4" x14ac:dyDescent="0.25">
      <c r="A12" s="33">
        <v>1921</v>
      </c>
      <c r="B12" s="33">
        <v>1714261</v>
      </c>
      <c r="C12" s="39">
        <v>3055000</v>
      </c>
      <c r="D12" s="34">
        <f t="shared" si="0"/>
        <v>56.1</v>
      </c>
    </row>
    <row r="13" spans="1:4" x14ac:dyDescent="0.25">
      <c r="A13" s="33">
        <v>1922</v>
      </c>
      <c r="B13" s="33">
        <v>1774911</v>
      </c>
      <c r="C13" s="39">
        <v>2882000</v>
      </c>
      <c r="D13" s="34">
        <f t="shared" si="0"/>
        <v>61.6</v>
      </c>
    </row>
    <row r="14" spans="1:4" x14ac:dyDescent="0.25">
      <c r="A14" s="33">
        <v>1923</v>
      </c>
      <c r="B14" s="33">
        <v>1792646</v>
      </c>
      <c r="C14" s="39">
        <v>2910000</v>
      </c>
      <c r="D14" s="34">
        <f t="shared" si="0"/>
        <v>61.6</v>
      </c>
    </row>
    <row r="15" spans="1:4" x14ac:dyDescent="0.25">
      <c r="A15" s="33">
        <v>1924</v>
      </c>
      <c r="B15" s="33">
        <v>1930614</v>
      </c>
      <c r="C15" s="39">
        <v>2979000</v>
      </c>
      <c r="D15" s="34">
        <f t="shared" si="0"/>
        <v>64.8</v>
      </c>
    </row>
    <row r="16" spans="1:4" x14ac:dyDescent="0.25">
      <c r="A16" s="33">
        <v>1925</v>
      </c>
      <c r="B16" s="33">
        <v>1878880</v>
      </c>
      <c r="C16" s="39">
        <v>2909000</v>
      </c>
      <c r="D16" s="34">
        <f t="shared" si="0"/>
        <v>64.599999999999994</v>
      </c>
    </row>
    <row r="17" spans="1:4" x14ac:dyDescent="0.25">
      <c r="A17" s="33">
        <v>1926</v>
      </c>
      <c r="B17" s="33">
        <v>1856068</v>
      </c>
      <c r="C17" s="39">
        <v>2839000</v>
      </c>
      <c r="D17" s="34">
        <f t="shared" si="0"/>
        <v>65.400000000000006</v>
      </c>
    </row>
    <row r="18" spans="1:4" x14ac:dyDescent="0.25">
      <c r="A18" s="33">
        <v>1927</v>
      </c>
      <c r="B18" s="33">
        <v>2137836</v>
      </c>
      <c r="C18" s="39">
        <v>2802000</v>
      </c>
      <c r="D18" s="34">
        <f t="shared" si="0"/>
        <v>76.3</v>
      </c>
    </row>
    <row r="19" spans="1:4" x14ac:dyDescent="0.25">
      <c r="A19" s="33">
        <v>1928</v>
      </c>
      <c r="B19" s="33">
        <v>2233149</v>
      </c>
      <c r="C19" s="39">
        <v>2674000</v>
      </c>
      <c r="D19" s="34">
        <f t="shared" si="0"/>
        <v>83.5</v>
      </c>
    </row>
    <row r="20" spans="1:4" x14ac:dyDescent="0.25">
      <c r="A20" s="33">
        <v>1929</v>
      </c>
      <c r="B20" s="33">
        <v>2169920</v>
      </c>
      <c r="C20" s="39">
        <v>2582000</v>
      </c>
      <c r="D20" s="34">
        <f t="shared" si="0"/>
        <v>84</v>
      </c>
    </row>
    <row r="21" spans="1:4" x14ac:dyDescent="0.25">
      <c r="A21" s="33">
        <v>1930</v>
      </c>
      <c r="B21" s="33">
        <v>2203958</v>
      </c>
      <c r="C21" s="39">
        <v>2618000</v>
      </c>
      <c r="D21" s="34">
        <f t="shared" si="0"/>
        <v>84.2</v>
      </c>
    </row>
    <row r="22" spans="1:4" x14ac:dyDescent="0.25">
      <c r="A22" s="33">
        <v>1931</v>
      </c>
      <c r="B22" s="33">
        <v>2112760</v>
      </c>
      <c r="C22" s="39">
        <v>2506000</v>
      </c>
      <c r="D22" s="34">
        <f t="shared" si="0"/>
        <v>84.3</v>
      </c>
    </row>
    <row r="23" spans="1:4" x14ac:dyDescent="0.25">
      <c r="A23" s="41">
        <v>1932</v>
      </c>
      <c r="B23" s="41">
        <v>2074042</v>
      </c>
      <c r="C23" s="42">
        <v>2440000</v>
      </c>
      <c r="D23" s="43">
        <f t="shared" si="0"/>
        <v>85</v>
      </c>
    </row>
    <row r="24" spans="1:4" ht="13" x14ac:dyDescent="0.3">
      <c r="A24" s="33"/>
      <c r="B24" s="48" t="s">
        <v>18</v>
      </c>
      <c r="C24" s="49" t="s">
        <v>18</v>
      </c>
      <c r="D24" s="34"/>
    </row>
    <row r="25" spans="1:4" x14ac:dyDescent="0.25">
      <c r="A25" s="33">
        <v>1933</v>
      </c>
      <c r="B25" s="33">
        <v>2081232</v>
      </c>
      <c r="C25" s="39">
        <v>2307000</v>
      </c>
      <c r="D25" s="34">
        <f>ROUND((B25/C25)*100,1)</f>
        <v>90.2</v>
      </c>
    </row>
    <row r="26" spans="1:4" x14ac:dyDescent="0.25">
      <c r="A26" s="33">
        <v>1934</v>
      </c>
      <c r="B26" s="33">
        <v>2167636</v>
      </c>
      <c r="C26" s="39">
        <v>2396000</v>
      </c>
      <c r="D26" s="34">
        <f>ROUND((B26/C26)*100,1)</f>
        <v>90.5</v>
      </c>
    </row>
    <row r="27" spans="1:4" x14ac:dyDescent="0.25">
      <c r="A27" s="33">
        <v>1935</v>
      </c>
      <c r="B27" s="33">
        <v>2155105</v>
      </c>
      <c r="C27" s="39">
        <v>2377000</v>
      </c>
      <c r="D27" s="34">
        <f>ROUND((B27/C27)*100,1)</f>
        <v>90.7</v>
      </c>
    </row>
    <row r="28" spans="1:4" x14ac:dyDescent="0.25">
      <c r="A28" s="33">
        <v>1936</v>
      </c>
      <c r="B28" s="33">
        <v>2144790</v>
      </c>
      <c r="C28" s="39">
        <v>2355000</v>
      </c>
      <c r="D28" s="34">
        <f t="shared" ref="D28:D51" si="1">ROUND((B28/C28)*100,1)</f>
        <v>91.1</v>
      </c>
    </row>
    <row r="29" spans="1:4" x14ac:dyDescent="0.25">
      <c r="A29" s="33">
        <v>1937</v>
      </c>
      <c r="B29" s="33">
        <v>2203337</v>
      </c>
      <c r="C29" s="39">
        <v>2413000</v>
      </c>
      <c r="D29" s="34">
        <f t="shared" si="1"/>
        <v>91.3</v>
      </c>
    </row>
    <row r="30" spans="1:4" x14ac:dyDescent="0.25">
      <c r="A30" s="33">
        <v>1938</v>
      </c>
      <c r="B30" s="33">
        <v>2286962</v>
      </c>
      <c r="C30" s="39">
        <v>2496000</v>
      </c>
      <c r="D30" s="34">
        <f t="shared" si="1"/>
        <v>91.6</v>
      </c>
    </row>
    <row r="31" spans="1:4" x14ac:dyDescent="0.25">
      <c r="A31" s="33">
        <v>1939</v>
      </c>
      <c r="B31" s="33">
        <v>2266588</v>
      </c>
      <c r="C31" s="39">
        <v>2466000</v>
      </c>
      <c r="D31" s="34">
        <f t="shared" si="1"/>
        <v>91.9</v>
      </c>
    </row>
    <row r="32" spans="1:4" x14ac:dyDescent="0.25">
      <c r="A32" s="33">
        <v>1940</v>
      </c>
      <c r="B32" s="33">
        <v>2360399</v>
      </c>
      <c r="C32" s="39">
        <v>2559000</v>
      </c>
      <c r="D32" s="34">
        <f t="shared" si="1"/>
        <v>92.2</v>
      </c>
    </row>
    <row r="33" spans="1:4" x14ac:dyDescent="0.25">
      <c r="A33" s="33">
        <v>1941</v>
      </c>
      <c r="B33" s="33">
        <v>2513427</v>
      </c>
      <c r="C33" s="39">
        <v>2703000</v>
      </c>
      <c r="D33" s="34">
        <f t="shared" si="1"/>
        <v>93</v>
      </c>
    </row>
    <row r="34" spans="1:4" x14ac:dyDescent="0.25">
      <c r="A34" s="33">
        <v>1942</v>
      </c>
      <c r="B34" s="33">
        <v>2808996</v>
      </c>
      <c r="C34" s="39">
        <v>2989000</v>
      </c>
      <c r="D34" s="34">
        <f t="shared" si="1"/>
        <v>94</v>
      </c>
    </row>
    <row r="35" spans="1:4" x14ac:dyDescent="0.25">
      <c r="A35" s="33">
        <v>1943</v>
      </c>
      <c r="B35" s="33">
        <v>2934860</v>
      </c>
      <c r="C35" s="39">
        <v>3104000</v>
      </c>
      <c r="D35" s="34">
        <f t="shared" si="1"/>
        <v>94.6</v>
      </c>
    </row>
    <row r="36" spans="1:4" x14ac:dyDescent="0.25">
      <c r="A36" s="33">
        <v>1944</v>
      </c>
      <c r="B36" s="33">
        <v>2794800</v>
      </c>
      <c r="C36" s="39">
        <v>2939000</v>
      </c>
      <c r="D36" s="34">
        <f t="shared" si="1"/>
        <v>95.1</v>
      </c>
    </row>
    <row r="37" spans="1:4" x14ac:dyDescent="0.25">
      <c r="A37" s="33">
        <v>1945</v>
      </c>
      <c r="B37" s="33">
        <v>2735456</v>
      </c>
      <c r="C37" s="39">
        <v>2858000</v>
      </c>
      <c r="D37" s="34">
        <f t="shared" si="1"/>
        <v>95.7</v>
      </c>
    </row>
    <row r="38" spans="1:4" x14ac:dyDescent="0.25">
      <c r="A38" s="33">
        <v>1946</v>
      </c>
      <c r="B38" s="33">
        <v>3288672</v>
      </c>
      <c r="C38" s="39">
        <v>3411000</v>
      </c>
      <c r="D38" s="34">
        <f t="shared" si="1"/>
        <v>96.4</v>
      </c>
    </row>
    <row r="39" spans="1:4" x14ac:dyDescent="0.25">
      <c r="A39" s="33">
        <v>1947</v>
      </c>
      <c r="B39" s="33">
        <v>3699940</v>
      </c>
      <c r="C39" s="39">
        <v>3817000</v>
      </c>
      <c r="D39" s="34">
        <f t="shared" si="1"/>
        <v>96.9</v>
      </c>
    </row>
    <row r="40" spans="1:4" x14ac:dyDescent="0.25">
      <c r="A40" s="33">
        <v>1948</v>
      </c>
      <c r="B40" s="33">
        <v>3535068</v>
      </c>
      <c r="C40" s="39">
        <v>3637000</v>
      </c>
      <c r="D40" s="34">
        <f t="shared" si="1"/>
        <v>97.2</v>
      </c>
    </row>
    <row r="41" spans="1:4" x14ac:dyDescent="0.25">
      <c r="A41" s="33">
        <v>1949</v>
      </c>
      <c r="B41" s="33">
        <v>3559529</v>
      </c>
      <c r="C41" s="39">
        <v>3649000</v>
      </c>
      <c r="D41" s="34">
        <f t="shared" si="1"/>
        <v>97.5</v>
      </c>
    </row>
    <row r="42" spans="1:4" x14ac:dyDescent="0.25">
      <c r="A42" s="33">
        <v>1950</v>
      </c>
      <c r="B42" s="33">
        <v>3554149</v>
      </c>
      <c r="C42" s="39">
        <v>3632000</v>
      </c>
      <c r="D42" s="34">
        <f t="shared" si="1"/>
        <v>97.9</v>
      </c>
    </row>
    <row r="43" spans="1:4" x14ac:dyDescent="0.25">
      <c r="A43" s="33">
        <v>1951</v>
      </c>
      <c r="B43" s="33">
        <v>3750850</v>
      </c>
      <c r="C43" s="39">
        <v>3823000</v>
      </c>
      <c r="D43" s="34">
        <f t="shared" si="1"/>
        <v>98.1</v>
      </c>
    </row>
    <row r="44" spans="1:4" x14ac:dyDescent="0.25">
      <c r="A44" s="33">
        <v>1952</v>
      </c>
      <c r="B44" s="33">
        <v>3846986</v>
      </c>
      <c r="C44" s="39">
        <v>3913000</v>
      </c>
      <c r="D44" s="34">
        <f t="shared" si="1"/>
        <v>98.3</v>
      </c>
    </row>
    <row r="45" spans="1:4" x14ac:dyDescent="0.25">
      <c r="A45" s="33">
        <v>1953</v>
      </c>
      <c r="B45" s="33">
        <v>3902120</v>
      </c>
      <c r="C45" s="39">
        <v>3965000</v>
      </c>
      <c r="D45" s="34">
        <f t="shared" si="1"/>
        <v>98.4</v>
      </c>
    </row>
    <row r="46" spans="1:4" x14ac:dyDescent="0.25">
      <c r="A46" s="33">
        <v>1954</v>
      </c>
      <c r="B46" s="33">
        <v>4017362</v>
      </c>
      <c r="C46" s="39">
        <v>4078000</v>
      </c>
      <c r="D46" s="34">
        <f t="shared" si="1"/>
        <v>98.5</v>
      </c>
    </row>
    <row r="47" spans="1:4" x14ac:dyDescent="0.25">
      <c r="A47" s="33">
        <v>1955</v>
      </c>
      <c r="B47" s="33">
        <v>4047295</v>
      </c>
      <c r="C47" s="39">
        <v>4104000</v>
      </c>
      <c r="D47" s="34">
        <f t="shared" si="1"/>
        <v>98.6</v>
      </c>
    </row>
    <row r="48" spans="1:4" x14ac:dyDescent="0.25">
      <c r="A48" s="33">
        <v>1956</v>
      </c>
      <c r="B48" s="33">
        <v>4163090</v>
      </c>
      <c r="C48" s="39">
        <v>4218000</v>
      </c>
      <c r="D48" s="34">
        <f t="shared" si="1"/>
        <v>98.7</v>
      </c>
    </row>
    <row r="49" spans="1:9" x14ac:dyDescent="0.25">
      <c r="A49" s="33">
        <v>1957</v>
      </c>
      <c r="B49" s="33">
        <v>4254784</v>
      </c>
      <c r="C49" s="39">
        <v>4308000</v>
      </c>
      <c r="D49" s="34">
        <f t="shared" si="1"/>
        <v>98.8</v>
      </c>
    </row>
    <row r="50" spans="1:9" x14ac:dyDescent="0.25">
      <c r="A50" s="33">
        <v>1958</v>
      </c>
      <c r="B50" s="33">
        <v>4203812</v>
      </c>
      <c r="C50" s="39">
        <v>4255000</v>
      </c>
      <c r="D50" s="34">
        <f t="shared" si="1"/>
        <v>98.8</v>
      </c>
    </row>
    <row r="51" spans="1:9" ht="13" thickBot="1" x14ac:dyDescent="0.3">
      <c r="A51" s="35">
        <v>1959</v>
      </c>
      <c r="B51" s="35">
        <v>4244796</v>
      </c>
      <c r="C51" s="40">
        <v>4295000</v>
      </c>
      <c r="D51" s="36">
        <f t="shared" si="1"/>
        <v>98.8</v>
      </c>
    </row>
    <row r="53" spans="1:9" ht="13" x14ac:dyDescent="0.3">
      <c r="A53" s="32" t="s">
        <v>63</v>
      </c>
      <c r="B53" s="32" t="s">
        <v>69</v>
      </c>
    </row>
    <row r="54" spans="1:9" x14ac:dyDescent="0.25">
      <c r="A54" s="32"/>
      <c r="B54" s="32" t="s">
        <v>70</v>
      </c>
    </row>
    <row r="55" spans="1:9" x14ac:dyDescent="0.25">
      <c r="B55" s="29" t="s">
        <v>64</v>
      </c>
    </row>
    <row r="56" spans="1:9" x14ac:dyDescent="0.25">
      <c r="B56" s="29"/>
    </row>
    <row r="57" spans="1:9" ht="15" x14ac:dyDescent="0.3">
      <c r="A57" s="32" t="s">
        <v>65</v>
      </c>
      <c r="B57" s="32" t="s">
        <v>71</v>
      </c>
    </row>
    <row r="58" spans="1:9" ht="15" customHeight="1" x14ac:dyDescent="0.25">
      <c r="B58" s="63" t="s">
        <v>75</v>
      </c>
      <c r="C58" s="63"/>
      <c r="D58" s="63"/>
      <c r="E58" s="63"/>
      <c r="F58" s="63"/>
      <c r="G58" s="63"/>
      <c r="H58" s="63"/>
      <c r="I58" s="63"/>
    </row>
    <row r="59" spans="1:9" x14ac:dyDescent="0.25">
      <c r="B59" s="63"/>
      <c r="C59" s="63"/>
      <c r="D59" s="63"/>
      <c r="E59" s="63"/>
      <c r="F59" s="63"/>
      <c r="G59" s="63"/>
      <c r="H59" s="63"/>
      <c r="I59" s="63"/>
    </row>
    <row r="60" spans="1:9" x14ac:dyDescent="0.25">
      <c r="B60" s="63"/>
      <c r="C60" s="63"/>
      <c r="D60" s="63"/>
      <c r="E60" s="63"/>
      <c r="F60" s="63"/>
      <c r="G60" s="63"/>
      <c r="H60" s="63"/>
      <c r="I60" s="63"/>
    </row>
    <row r="61" spans="1:9" x14ac:dyDescent="0.25">
      <c r="B61" s="63"/>
      <c r="C61" s="63"/>
      <c r="D61" s="63"/>
      <c r="E61" s="63"/>
      <c r="F61" s="63"/>
      <c r="G61" s="63"/>
      <c r="H61" s="63"/>
      <c r="I61" s="63"/>
    </row>
    <row r="62" spans="1:9" x14ac:dyDescent="0.25">
      <c r="B62" s="63"/>
      <c r="C62" s="63"/>
      <c r="D62" s="63"/>
      <c r="E62" s="63"/>
      <c r="F62" s="63"/>
      <c r="G62" s="63"/>
      <c r="H62" s="63"/>
      <c r="I62" s="63"/>
    </row>
    <row r="63" spans="1:9" x14ac:dyDescent="0.25">
      <c r="B63" s="63"/>
      <c r="C63" s="63"/>
      <c r="D63" s="63"/>
      <c r="E63" s="63"/>
      <c r="F63" s="63"/>
      <c r="G63" s="63"/>
      <c r="H63" s="63"/>
      <c r="I63" s="63"/>
    </row>
  </sheetData>
  <mergeCells count="4">
    <mergeCell ref="B3:C3"/>
    <mergeCell ref="A3:A4"/>
    <mergeCell ref="D3:D4"/>
    <mergeCell ref="B58:I63"/>
  </mergeCells>
  <hyperlinks>
    <hyperlink ref="B55" r:id="rId1"/>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contents</vt:lpstr>
      <vt:lpstr>input data</vt:lpstr>
      <vt:lpstr>variables input data</vt:lpstr>
      <vt:lpstr>supplements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Catalina</dc:creator>
  <cp:lastModifiedBy>TORRES Catalina</cp:lastModifiedBy>
  <dcterms:created xsi:type="dcterms:W3CDTF">2020-07-21T14:58:51Z</dcterms:created>
  <dcterms:modified xsi:type="dcterms:W3CDTF">2023-02-03T14:40:53Z</dcterms:modified>
</cp:coreProperties>
</file>